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isty\Desktop\"/>
    </mc:Choice>
  </mc:AlternateContent>
  <xr:revisionPtr revIDLastSave="0" documentId="8_{89DAF6D7-9B3F-4067-BC24-B49C0CAFB2F0}" xr6:coauthVersionLast="47" xr6:coauthVersionMax="47" xr10:uidLastSave="{00000000-0000-0000-0000-000000000000}"/>
  <bookViews>
    <workbookView xWindow="-120" yWindow="-120" windowWidth="29040" windowHeight="15720" tabRatio="827" xr2:uid="{00000000-000D-0000-FFFF-FFFF00000000}"/>
  </bookViews>
  <sheets>
    <sheet name="Income" sheetId="26" r:id="rId1"/>
    <sheet name="Expense Summary" sheetId="42" r:id="rId2"/>
    <sheet name="Ann Sess" sheetId="24" r:id="rId3"/>
    <sheet name="ADA Ann Sess" sheetId="23" r:id="rId4"/>
    <sheet name="HOD" sheetId="16" r:id="rId5"/>
    <sheet name="Policy and Structure" sheetId="45" r:id="rId6"/>
    <sheet name="Dtl Ed" sheetId="5" r:id="rId7"/>
    <sheet name="Captl Conf" sheetId="6" r:id="rId8"/>
    <sheet name="Government Affairs" sheetId="35" r:id="rId9"/>
    <sheet name="Government Affairs(2)" sheetId="29" r:id="rId10"/>
    <sheet name="Access" sheetId="9" r:id="rId11"/>
    <sheet name="Mbr Srvs" sheetId="37" r:id="rId12"/>
    <sheet name="Membership" sheetId="11" r:id="rId13"/>
    <sheet name="New Dts" sheetId="10" r:id="rId14"/>
    <sheet name="DEI" sheetId="44" r:id="rId15"/>
    <sheet name="Allied Dental Personnel" sheetId="34" state="hidden" r:id="rId16"/>
    <sheet name="Dtl Bene" sheetId="8" r:id="rId17"/>
    <sheet name="Peer Review" sheetId="7" state="hidden" r:id="rId18"/>
    <sheet name="Communications" sheetId="17" r:id="rId19"/>
    <sheet name="Communications (2)" sheetId="30" r:id="rId20"/>
    <sheet name="Board" sheetId="15" r:id="rId21"/>
    <sheet name="Board2" sheetId="32" r:id="rId22"/>
    <sheet name="Board3" sheetId="33" r:id="rId23"/>
    <sheet name="Headquarters" sheetId="22" r:id="rId24"/>
    <sheet name="Headquarters (2)" sheetId="27" r:id="rId25"/>
    <sheet name="Midwinter" sheetId="20" r:id="rId26"/>
    <sheet name="ind costs(1)" sheetId="40" r:id="rId27"/>
    <sheet name="ind costs(2)" sheetId="41" r:id="rId28"/>
  </sheets>
  <definedNames>
    <definedName name="__123Graph_LBL_A" localSheetId="0" hidden="1">Income!#REF!</definedName>
    <definedName name="__123Graph_LBL_C" localSheetId="0" hidden="1">Income!#REF!</definedName>
    <definedName name="__123Graph_LBL_D" localSheetId="0" hidden="1">Income!#REF!</definedName>
    <definedName name="__123Graph_LBL_E" localSheetId="0" hidden="1">Income!#REF!</definedName>
    <definedName name="__123Graph_LBL_F" localSheetId="0" hidden="1">Income!#REF!</definedName>
    <definedName name="G9_PP">Income!$A$1:$H$62</definedName>
    <definedName name="_xlnm.Print_Area" localSheetId="7">'Captl Conf'!$A$1:$E$37</definedName>
    <definedName name="_xlnm.Print_Area" localSheetId="14">DEI!$A:$E</definedName>
    <definedName name="_xlnm.Print_Area" localSheetId="16">'Dtl Bene'!$A:$E</definedName>
    <definedName name="_xlnm.Print_Area" localSheetId="1">'Expense Summary'!$A$1:$T$59</definedName>
    <definedName name="_xlnm.Print_Area" localSheetId="9">'Government Affairs(2)'!$A$1:$E$34</definedName>
    <definedName name="_xlnm.Print_Area" localSheetId="0">Income!$A$1:$G$59</definedName>
    <definedName name="_xlnm.Print_Area" localSheetId="5">'Policy and Structure'!$A:$E</definedName>
    <definedName name="Print_Area_MI">Income!$A$1:$H$62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7" i="10" l="1"/>
  <c r="X57" i="42" l="1"/>
  <c r="Y57" i="42" s="1"/>
  <c r="X56" i="42"/>
  <c r="Y56" i="42" s="1"/>
  <c r="X54" i="42"/>
  <c r="Y54" i="42" s="1"/>
  <c r="X52" i="42"/>
  <c r="Y52" i="42" s="1"/>
  <c r="X50" i="42"/>
  <c r="Y50" i="42" s="1"/>
  <c r="X48" i="42"/>
  <c r="Y48" i="42" s="1"/>
  <c r="X46" i="42"/>
  <c r="Y46" i="42" s="1"/>
  <c r="X44" i="42"/>
  <c r="Y44" i="42" s="1"/>
  <c r="Y42" i="42"/>
  <c r="X42" i="42"/>
  <c r="X40" i="42"/>
  <c r="Y40" i="42" s="1"/>
  <c r="X35" i="42"/>
  <c r="Y35" i="42" s="1"/>
  <c r="Y33" i="42"/>
  <c r="X33" i="42"/>
  <c r="X31" i="42"/>
  <c r="Y31" i="42" s="1"/>
  <c r="X29" i="42"/>
  <c r="Y29" i="42" s="1"/>
  <c r="X27" i="42"/>
  <c r="Y27" i="42" s="1"/>
  <c r="X25" i="42"/>
  <c r="Y25" i="42" s="1"/>
  <c r="X23" i="42"/>
  <c r="Y23" i="42" s="1"/>
  <c r="X21" i="42"/>
  <c r="Y21" i="42" s="1"/>
  <c r="X19" i="42"/>
  <c r="Y19" i="42" s="1"/>
  <c r="X17" i="42"/>
  <c r="Y17" i="42" s="1"/>
  <c r="X15" i="42"/>
  <c r="Y15" i="42" s="1"/>
  <c r="X13" i="42"/>
  <c r="Y13" i="42" s="1"/>
  <c r="X11" i="42"/>
  <c r="Y11" i="42" s="1"/>
  <c r="X9" i="42"/>
  <c r="Y9" i="42" s="1"/>
  <c r="X7" i="42"/>
  <c r="Y7" i="42" s="1"/>
  <c r="J32" i="26"/>
  <c r="K32" i="26" s="1"/>
  <c r="L32" i="26" s="1"/>
  <c r="W56" i="42"/>
  <c r="W35" i="42"/>
  <c r="K27" i="26"/>
  <c r="L27" i="26" s="1"/>
  <c r="K23" i="26"/>
  <c r="L23" i="26" s="1"/>
  <c r="K22" i="26"/>
  <c r="L22" i="26" s="1"/>
  <c r="K21" i="26"/>
  <c r="K19" i="26"/>
  <c r="K17" i="26"/>
  <c r="K14" i="26"/>
  <c r="K12" i="26"/>
  <c r="K10" i="26"/>
  <c r="K28" i="26" l="1"/>
  <c r="L28" i="26" s="1"/>
  <c r="W57" i="42"/>
  <c r="E27" i="26" l="1"/>
  <c r="F27" i="26" l="1"/>
  <c r="G27" i="26" s="1"/>
  <c r="C25" i="40" l="1"/>
  <c r="A8" i="26"/>
  <c r="A24" i="26" s="1"/>
  <c r="E8" i="26" l="1"/>
  <c r="C12" i="26" l="1"/>
  <c r="E12" i="26" s="1"/>
  <c r="F12" i="26" l="1"/>
  <c r="C29" i="32" l="1"/>
  <c r="C26" i="32"/>
  <c r="C11" i="15"/>
  <c r="C10" i="15"/>
  <c r="C42" i="23"/>
  <c r="C41" i="23"/>
  <c r="C24" i="23"/>
  <c r="C21" i="23"/>
  <c r="C12" i="23"/>
  <c r="C37" i="32"/>
  <c r="C50" i="32"/>
  <c r="C21" i="32"/>
  <c r="C10" i="40"/>
  <c r="C39" i="35"/>
  <c r="C38" i="35"/>
  <c r="C37" i="35"/>
  <c r="C36" i="35"/>
  <c r="C32" i="35"/>
  <c r="C10" i="35"/>
  <c r="C13" i="44"/>
  <c r="C12" i="6"/>
  <c r="C13" i="6"/>
  <c r="C9" i="6"/>
  <c r="I27" i="42"/>
  <c r="B17" i="42"/>
  <c r="D26" i="5"/>
  <c r="E26" i="5" s="1"/>
  <c r="B27" i="5"/>
  <c r="C27" i="5"/>
  <c r="D17" i="42" s="1"/>
  <c r="Q27" i="26"/>
  <c r="D27" i="5" l="1"/>
  <c r="E27" i="5" s="1"/>
  <c r="D24" i="23"/>
  <c r="E24" i="23" s="1"/>
  <c r="C11" i="23"/>
  <c r="D11" i="23" s="1"/>
  <c r="E11" i="23" s="1"/>
  <c r="D12" i="23"/>
  <c r="D30" i="24"/>
  <c r="E30" i="24" s="1"/>
  <c r="C11" i="29"/>
  <c r="C30" i="35"/>
  <c r="C29" i="35"/>
  <c r="C28" i="35"/>
  <c r="C27" i="35"/>
  <c r="C45" i="17"/>
  <c r="N19" i="42" s="1"/>
  <c r="B23" i="22"/>
  <c r="B31" i="22"/>
  <c r="E25" i="42"/>
  <c r="C31" i="32"/>
  <c r="D31" i="32" s="1"/>
  <c r="E31" i="32" s="1"/>
  <c r="C12" i="32"/>
  <c r="C15" i="32" s="1"/>
  <c r="C11" i="32"/>
  <c r="C28" i="15"/>
  <c r="D11" i="15"/>
  <c r="E11" i="15" s="1"/>
  <c r="C12" i="20"/>
  <c r="C13" i="22"/>
  <c r="C23" i="22" s="1"/>
  <c r="R15" i="42" s="1"/>
  <c r="C16" i="22"/>
  <c r="D16" i="22" s="1"/>
  <c r="E16" i="22" s="1"/>
  <c r="C14" i="40"/>
  <c r="C13" i="40"/>
  <c r="D13" i="40" s="1"/>
  <c r="E13" i="40" s="1"/>
  <c r="C19" i="40"/>
  <c r="D19" i="40" s="1"/>
  <c r="C15" i="40"/>
  <c r="D15" i="40" s="1"/>
  <c r="C11" i="26"/>
  <c r="E11" i="26" s="1"/>
  <c r="X22" i="26"/>
  <c r="Y22" i="26" s="1"/>
  <c r="D9" i="24"/>
  <c r="E9" i="24" s="1"/>
  <c r="D19" i="23"/>
  <c r="E19" i="23" s="1"/>
  <c r="D15" i="42"/>
  <c r="B17" i="16"/>
  <c r="D16" i="16"/>
  <c r="E16" i="16"/>
  <c r="C17" i="16"/>
  <c r="Y8" i="26"/>
  <c r="D30" i="17"/>
  <c r="E30" i="17" s="1"/>
  <c r="D26" i="32"/>
  <c r="E26" i="32" s="1"/>
  <c r="C12" i="15"/>
  <c r="D12" i="15"/>
  <c r="E12" i="15" s="1"/>
  <c r="E16" i="26"/>
  <c r="E23" i="26"/>
  <c r="F23" i="26" s="1"/>
  <c r="G23" i="26" s="1"/>
  <c r="E22" i="26"/>
  <c r="G23" i="42"/>
  <c r="D17" i="29"/>
  <c r="C27" i="32"/>
  <c r="D27" i="32" s="1"/>
  <c r="E27" i="32" s="1"/>
  <c r="B14" i="29"/>
  <c r="D13" i="29"/>
  <c r="E13" i="29" s="1"/>
  <c r="D12" i="29"/>
  <c r="E12" i="29" s="1"/>
  <c r="D10" i="29"/>
  <c r="E10" i="29" s="1"/>
  <c r="H19" i="42"/>
  <c r="D24" i="37"/>
  <c r="E24" i="37" s="1"/>
  <c r="C10" i="44"/>
  <c r="C9" i="10"/>
  <c r="C14" i="10"/>
  <c r="D14" i="10" s="1"/>
  <c r="C13" i="10"/>
  <c r="D13" i="10" s="1"/>
  <c r="E13" i="10" s="1"/>
  <c r="C13" i="11"/>
  <c r="D13" i="11" s="1"/>
  <c r="C9" i="11"/>
  <c r="C11" i="11" s="1"/>
  <c r="I7" i="42" s="1"/>
  <c r="L15" i="42"/>
  <c r="C26" i="29"/>
  <c r="G27" i="42"/>
  <c r="C34" i="35"/>
  <c r="D34" i="35" s="1"/>
  <c r="E34" i="35" s="1"/>
  <c r="C15" i="35"/>
  <c r="C17" i="35" s="1"/>
  <c r="G9" i="42" s="1"/>
  <c r="C13" i="35"/>
  <c r="G7" i="42" s="1"/>
  <c r="D13" i="6"/>
  <c r="E13" i="6" s="1"/>
  <c r="C11" i="6"/>
  <c r="D11" i="6" s="1"/>
  <c r="E11" i="6" s="1"/>
  <c r="C17" i="6"/>
  <c r="E9" i="42"/>
  <c r="R8" i="26"/>
  <c r="J8" i="26" s="1"/>
  <c r="I21" i="42"/>
  <c r="I17" i="42"/>
  <c r="I29" i="42"/>
  <c r="D46" i="11"/>
  <c r="E46" i="11" s="1"/>
  <c r="B27" i="11"/>
  <c r="D26" i="11"/>
  <c r="E26" i="11" s="1"/>
  <c r="D25" i="11"/>
  <c r="E25" i="11" s="1"/>
  <c r="C27" i="11"/>
  <c r="I19" i="42" s="1"/>
  <c r="D22" i="11"/>
  <c r="E22" i="11" s="1"/>
  <c r="D30" i="22"/>
  <c r="E30" i="22" s="1"/>
  <c r="C31" i="22"/>
  <c r="C37" i="22"/>
  <c r="C38" i="22" s="1"/>
  <c r="R21" i="42" s="1"/>
  <c r="B38" i="22"/>
  <c r="D36" i="22"/>
  <c r="D35" i="22"/>
  <c r="E35" i="22" s="1"/>
  <c r="D34" i="22"/>
  <c r="E34" i="22" s="1"/>
  <c r="D33" i="22"/>
  <c r="X24" i="26"/>
  <c r="Y24" i="26" s="1"/>
  <c r="C15" i="22"/>
  <c r="D15" i="22"/>
  <c r="E15" i="22"/>
  <c r="B19" i="42"/>
  <c r="D33" i="24"/>
  <c r="E33" i="24" s="1"/>
  <c r="C14" i="17"/>
  <c r="N9" i="42" s="1"/>
  <c r="C26" i="17"/>
  <c r="N15" i="42" s="1"/>
  <c r="C22" i="30"/>
  <c r="C19" i="30"/>
  <c r="N25" i="42" s="1"/>
  <c r="C14" i="30"/>
  <c r="N23" i="42" s="1"/>
  <c r="B14" i="30"/>
  <c r="N29" i="42"/>
  <c r="D25" i="30"/>
  <c r="E25" i="30" s="1"/>
  <c r="D29" i="42"/>
  <c r="D45" i="5"/>
  <c r="E45" i="5" s="1"/>
  <c r="D25" i="5"/>
  <c r="E25" i="5" s="1"/>
  <c r="N7" i="42"/>
  <c r="B26" i="41"/>
  <c r="B14" i="41"/>
  <c r="B44" i="40"/>
  <c r="B39" i="40"/>
  <c r="B46" i="40" s="1"/>
  <c r="B7" i="41" s="1"/>
  <c r="B29" i="40"/>
  <c r="B22" i="40"/>
  <c r="B16" i="40"/>
  <c r="B18" i="27"/>
  <c r="B43" i="22"/>
  <c r="B33" i="33"/>
  <c r="B26" i="33"/>
  <c r="B10" i="33"/>
  <c r="B16" i="33"/>
  <c r="B48" i="32"/>
  <c r="B52" i="32" s="1"/>
  <c r="D48" i="32"/>
  <c r="E48" i="32"/>
  <c r="B45" i="32"/>
  <c r="B41" i="32"/>
  <c r="B15" i="32"/>
  <c r="B16" i="7"/>
  <c r="B16" i="8"/>
  <c r="B15" i="8"/>
  <c r="B17" i="8" s="1"/>
  <c r="B10" i="8"/>
  <c r="B12" i="8" s="1"/>
  <c r="B36" i="8" s="1"/>
  <c r="M36" i="42" s="1"/>
  <c r="B15" i="34"/>
  <c r="B19" i="10"/>
  <c r="B15" i="10"/>
  <c r="B11" i="10"/>
  <c r="B40" i="11"/>
  <c r="B36" i="11"/>
  <c r="B19" i="11"/>
  <c r="B15" i="11"/>
  <c r="B11" i="11"/>
  <c r="B35" i="37"/>
  <c r="B14" i="37"/>
  <c r="B16" i="37" s="1"/>
  <c r="B37" i="37" s="1"/>
  <c r="H36" i="42" s="1"/>
  <c r="B10" i="37"/>
  <c r="B17" i="9"/>
  <c r="B16" i="9"/>
  <c r="B18" i="9"/>
  <c r="B10" i="9"/>
  <c r="B14" i="9" s="1"/>
  <c r="B33" i="9" s="1"/>
  <c r="L36" i="42" s="1"/>
  <c r="B26" i="29"/>
  <c r="B17" i="35"/>
  <c r="B13" i="35"/>
  <c r="B49" i="35" s="1"/>
  <c r="B7" i="29" s="1"/>
  <c r="B33" i="29" s="1"/>
  <c r="G36" i="42" s="1"/>
  <c r="C5" i="23"/>
  <c r="B5" i="23"/>
  <c r="D35" i="17"/>
  <c r="E35" i="17" s="1"/>
  <c r="B45" i="17"/>
  <c r="B38" i="17"/>
  <c r="D36" i="17"/>
  <c r="E36" i="17" s="1"/>
  <c r="D37" i="17"/>
  <c r="E37" i="17" s="1"/>
  <c r="D31" i="17"/>
  <c r="E31" i="17" s="1"/>
  <c r="C34" i="17"/>
  <c r="C38" i="17" s="1"/>
  <c r="N17" i="42" s="1"/>
  <c r="D33" i="17"/>
  <c r="E33" i="17" s="1"/>
  <c r="D32" i="17"/>
  <c r="E32" i="17" s="1"/>
  <c r="D44" i="17"/>
  <c r="D43" i="17"/>
  <c r="D42" i="17"/>
  <c r="D41" i="17"/>
  <c r="D45" i="17" s="1"/>
  <c r="B22" i="30"/>
  <c r="B19" i="30"/>
  <c r="B26" i="17"/>
  <c r="B19" i="17"/>
  <c r="B14" i="17"/>
  <c r="C45" i="23"/>
  <c r="C15" i="42" s="1"/>
  <c r="B43" i="23"/>
  <c r="B42" i="23"/>
  <c r="D41" i="23"/>
  <c r="B34" i="23"/>
  <c r="B33" i="23"/>
  <c r="B36" i="23" s="1"/>
  <c r="B27" i="23"/>
  <c r="B31" i="15"/>
  <c r="B20" i="15"/>
  <c r="B21" i="15"/>
  <c r="B36" i="16"/>
  <c r="B20" i="16"/>
  <c r="B24" i="16"/>
  <c r="B40" i="16"/>
  <c r="O36" i="42" s="1"/>
  <c r="B46" i="24"/>
  <c r="B41" i="24"/>
  <c r="B37" i="24"/>
  <c r="B27" i="24"/>
  <c r="B19" i="24"/>
  <c r="B17" i="24"/>
  <c r="B51" i="24" s="1"/>
  <c r="B36" i="42" s="1"/>
  <c r="B29" i="6"/>
  <c r="B15" i="6"/>
  <c r="B36" i="6" s="1"/>
  <c r="E36" i="42" s="1"/>
  <c r="B26" i="20"/>
  <c r="B29" i="20" s="1"/>
  <c r="Q36" i="42" s="1"/>
  <c r="B16" i="20"/>
  <c r="B42" i="5"/>
  <c r="B38" i="5"/>
  <c r="B35" i="5"/>
  <c r="B31" i="5"/>
  <c r="B16" i="5"/>
  <c r="B15" i="5"/>
  <c r="B13" i="5"/>
  <c r="C34" i="23"/>
  <c r="D34" i="23" s="1"/>
  <c r="E34" i="23" s="1"/>
  <c r="C33" i="23"/>
  <c r="D33" i="23" s="1"/>
  <c r="E33" i="23" s="1"/>
  <c r="C27" i="23"/>
  <c r="D27" i="23" s="1"/>
  <c r="E27" i="23" s="1"/>
  <c r="C10" i="23"/>
  <c r="D10" i="23" s="1"/>
  <c r="E10" i="23" s="1"/>
  <c r="S40" i="42"/>
  <c r="K40" i="42" s="1"/>
  <c r="D18" i="41"/>
  <c r="E18" i="41" s="1"/>
  <c r="D17" i="41"/>
  <c r="C10" i="45"/>
  <c r="D10" i="45" s="1"/>
  <c r="C13" i="45"/>
  <c r="C14" i="45"/>
  <c r="D14" i="45" s="1"/>
  <c r="E14" i="45" s="1"/>
  <c r="C10" i="33"/>
  <c r="C16" i="33" s="1"/>
  <c r="P21" i="42" s="1"/>
  <c r="D11" i="42"/>
  <c r="K33" i="42"/>
  <c r="K27" i="42"/>
  <c r="K23" i="42"/>
  <c r="K15" i="42"/>
  <c r="K7" i="42"/>
  <c r="F33" i="42"/>
  <c r="F27" i="42"/>
  <c r="F23" i="42"/>
  <c r="F15" i="42"/>
  <c r="F11" i="42"/>
  <c r="D30" i="45"/>
  <c r="E30" i="45"/>
  <c r="D27" i="45"/>
  <c r="E27" i="45"/>
  <c r="D24" i="45"/>
  <c r="E24" i="45" s="1"/>
  <c r="D21" i="45"/>
  <c r="E21" i="45"/>
  <c r="D18" i="45"/>
  <c r="E18" i="45"/>
  <c r="B34" i="45"/>
  <c r="F36" i="42"/>
  <c r="C5" i="45"/>
  <c r="B5" i="45"/>
  <c r="A1" i="45"/>
  <c r="D27" i="44"/>
  <c r="E27" i="44"/>
  <c r="D24" i="44"/>
  <c r="E24" i="44" s="1"/>
  <c r="D21" i="44"/>
  <c r="E21" i="44" s="1"/>
  <c r="D18" i="44"/>
  <c r="E18" i="44" s="1"/>
  <c r="C14" i="44"/>
  <c r="D14" i="44"/>
  <c r="E14" i="44" s="1"/>
  <c r="C5" i="44"/>
  <c r="B5" i="44"/>
  <c r="A1" i="44"/>
  <c r="Y18" i="26"/>
  <c r="D18" i="30"/>
  <c r="E18" i="30" s="1"/>
  <c r="C20" i="15"/>
  <c r="D20" i="15" s="1"/>
  <c r="C43" i="22"/>
  <c r="C10" i="37"/>
  <c r="H7" i="42" s="1"/>
  <c r="D22" i="5"/>
  <c r="E22" i="5" s="1"/>
  <c r="D19" i="5"/>
  <c r="E19" i="5" s="1"/>
  <c r="C16" i="5"/>
  <c r="C15" i="5"/>
  <c r="C13" i="5"/>
  <c r="D7" i="42" s="1"/>
  <c r="C31" i="5"/>
  <c r="D21" i="42" s="1"/>
  <c r="C35" i="5"/>
  <c r="D23" i="42" s="1"/>
  <c r="C38" i="5"/>
  <c r="D25" i="42" s="1"/>
  <c r="C42" i="5"/>
  <c r="C43" i="23"/>
  <c r="D43" i="23" s="1"/>
  <c r="E43" i="23" s="1"/>
  <c r="C20" i="16"/>
  <c r="C24" i="16" s="1"/>
  <c r="O9" i="42" s="1"/>
  <c r="C27" i="24"/>
  <c r="B15" i="42" s="1"/>
  <c r="B9" i="42"/>
  <c r="C15" i="8"/>
  <c r="C10" i="8"/>
  <c r="C12" i="8"/>
  <c r="C10" i="9"/>
  <c r="D43" i="35"/>
  <c r="E43" i="35" s="1"/>
  <c r="D37" i="35"/>
  <c r="E37" i="35" s="1"/>
  <c r="D39" i="35"/>
  <c r="E39" i="35" s="1"/>
  <c r="D38" i="35"/>
  <c r="E38" i="35" s="1"/>
  <c r="C39" i="40"/>
  <c r="S48" i="42" s="1"/>
  <c r="D37" i="40"/>
  <c r="E37" i="40" s="1"/>
  <c r="D20" i="40"/>
  <c r="S74" i="42"/>
  <c r="A2" i="24"/>
  <c r="A2" i="22" s="1"/>
  <c r="M33" i="42"/>
  <c r="D51" i="32"/>
  <c r="E51" i="32" s="1"/>
  <c r="D50" i="32"/>
  <c r="E50" i="32" s="1"/>
  <c r="E49" i="32"/>
  <c r="C48" i="32"/>
  <c r="D47" i="32"/>
  <c r="E47" i="32" s="1"/>
  <c r="D46" i="32"/>
  <c r="E46" i="32" s="1"/>
  <c r="C45" i="32"/>
  <c r="D45" i="32" s="1"/>
  <c r="E45" i="32" s="1"/>
  <c r="C33" i="32"/>
  <c r="D33" i="32" s="1"/>
  <c r="D32" i="8"/>
  <c r="E32" i="8" s="1"/>
  <c r="C16" i="8"/>
  <c r="C17" i="9"/>
  <c r="D17" i="9" s="1"/>
  <c r="E17" i="9" s="1"/>
  <c r="C16" i="9"/>
  <c r="D16" i="9" s="1"/>
  <c r="E16" i="9" s="1"/>
  <c r="C33" i="35"/>
  <c r="D33" i="35" s="1"/>
  <c r="E33" i="35" s="1"/>
  <c r="Y9" i="26"/>
  <c r="D42" i="11"/>
  <c r="E42" i="11" s="1"/>
  <c r="R13" i="26"/>
  <c r="J16" i="26" s="1"/>
  <c r="K16" i="26" s="1"/>
  <c r="L16" i="26" s="1"/>
  <c r="R9" i="26"/>
  <c r="D26" i="26"/>
  <c r="C14" i="11"/>
  <c r="D14" i="11"/>
  <c r="E14" i="11" s="1"/>
  <c r="B33" i="42"/>
  <c r="H15" i="42"/>
  <c r="C19" i="20"/>
  <c r="Q9" i="42" s="1"/>
  <c r="D49" i="24"/>
  <c r="E49" i="24" s="1"/>
  <c r="C14" i="37"/>
  <c r="C16" i="37" s="1"/>
  <c r="C44" i="40"/>
  <c r="C19" i="17"/>
  <c r="N13" i="42" s="1"/>
  <c r="C40" i="11"/>
  <c r="I25" i="42" s="1"/>
  <c r="C36" i="11"/>
  <c r="I23" i="42"/>
  <c r="C19" i="11"/>
  <c r="I15" i="42"/>
  <c r="C19" i="10"/>
  <c r="J15" i="42" s="1"/>
  <c r="C29" i="6"/>
  <c r="C46" i="24"/>
  <c r="B27" i="42" s="1"/>
  <c r="C41" i="24"/>
  <c r="B25" i="42" s="1"/>
  <c r="C37" i="24"/>
  <c r="B23" i="42" s="1"/>
  <c r="D21" i="41"/>
  <c r="E21" i="41" s="1"/>
  <c r="D42" i="40"/>
  <c r="E42" i="40"/>
  <c r="C33" i="33"/>
  <c r="P31" i="42"/>
  <c r="S31" i="42" s="1"/>
  <c r="B33" i="7"/>
  <c r="D10" i="34"/>
  <c r="C5" i="6"/>
  <c r="B5" i="6"/>
  <c r="C5" i="35"/>
  <c r="B5" i="35"/>
  <c r="C5" i="29"/>
  <c r="B5" i="29"/>
  <c r="C5" i="37"/>
  <c r="B5" i="37"/>
  <c r="C5" i="11"/>
  <c r="B5" i="11"/>
  <c r="C5" i="10"/>
  <c r="B5" i="10"/>
  <c r="C5" i="34"/>
  <c r="B5" i="34"/>
  <c r="C5" i="9"/>
  <c r="B5" i="9"/>
  <c r="C5" i="8"/>
  <c r="B5" i="8"/>
  <c r="C5" i="7"/>
  <c r="B5" i="7"/>
  <c r="C5" i="17"/>
  <c r="B5" i="17"/>
  <c r="C5" i="30"/>
  <c r="B5" i="30"/>
  <c r="C5" i="16"/>
  <c r="B5" i="16"/>
  <c r="C5" i="15"/>
  <c r="B5" i="15"/>
  <c r="C5" i="32"/>
  <c r="B5" i="32"/>
  <c r="C5" i="33"/>
  <c r="B5" i="33"/>
  <c r="C5" i="20"/>
  <c r="B5" i="20"/>
  <c r="C5" i="22"/>
  <c r="B5" i="22"/>
  <c r="C5" i="27"/>
  <c r="B5" i="27"/>
  <c r="C5" i="40"/>
  <c r="B5" i="40"/>
  <c r="C5" i="41"/>
  <c r="B5" i="41"/>
  <c r="C5" i="5"/>
  <c r="B5" i="5"/>
  <c r="A1" i="6"/>
  <c r="A1" i="35"/>
  <c r="A1" i="29"/>
  <c r="A1" i="37"/>
  <c r="A1" i="11"/>
  <c r="A1" i="10"/>
  <c r="A1" i="34"/>
  <c r="A1" i="9"/>
  <c r="A1" i="8"/>
  <c r="A1" i="7"/>
  <c r="A1" i="17"/>
  <c r="A1" i="30"/>
  <c r="A1" i="16"/>
  <c r="A1" i="15"/>
  <c r="A1" i="32"/>
  <c r="A1" i="33"/>
  <c r="A1" i="20"/>
  <c r="A1" i="22"/>
  <c r="A1" i="27"/>
  <c r="A1" i="40"/>
  <c r="A1" i="41"/>
  <c r="A1" i="5"/>
  <c r="A1" i="23"/>
  <c r="A2" i="42"/>
  <c r="C13" i="26"/>
  <c r="E13" i="26" s="1"/>
  <c r="D35" i="40"/>
  <c r="E35" i="40" s="1"/>
  <c r="D14" i="40"/>
  <c r="E14" i="40" s="1"/>
  <c r="U10" i="26"/>
  <c r="X21" i="26"/>
  <c r="Y21" i="26" s="1"/>
  <c r="U9" i="26"/>
  <c r="X17" i="26"/>
  <c r="Y17" i="26" s="1"/>
  <c r="U11" i="26"/>
  <c r="U14" i="26"/>
  <c r="U20" i="26"/>
  <c r="D33" i="40"/>
  <c r="E33" i="40" s="1"/>
  <c r="C30" i="32"/>
  <c r="D30" i="32" s="1"/>
  <c r="E30" i="32" s="1"/>
  <c r="C32" i="32"/>
  <c r="D32" i="32"/>
  <c r="E32" i="32" s="1"/>
  <c r="C34" i="32"/>
  <c r="D34" i="32"/>
  <c r="E34" i="32" s="1"/>
  <c r="U25" i="26"/>
  <c r="Y11" i="26"/>
  <c r="Y14" i="26"/>
  <c r="X20" i="26"/>
  <c r="Y20" i="26" s="1"/>
  <c r="X19" i="26"/>
  <c r="Y19" i="26" s="1"/>
  <c r="T27" i="26"/>
  <c r="U16" i="26"/>
  <c r="R10" i="26"/>
  <c r="R11" i="26"/>
  <c r="R14" i="26"/>
  <c r="R16" i="26"/>
  <c r="R17" i="26"/>
  <c r="R18" i="26"/>
  <c r="J11" i="26" s="1"/>
  <c r="K11" i="26" s="1"/>
  <c r="L11" i="26" s="1"/>
  <c r="R19" i="26"/>
  <c r="R20" i="26"/>
  <c r="R21" i="26"/>
  <c r="R22" i="26"/>
  <c r="J13" i="26" s="1"/>
  <c r="K13" i="26" s="1"/>
  <c r="L13" i="26" s="1"/>
  <c r="R25" i="26"/>
  <c r="R23" i="26"/>
  <c r="R24" i="26"/>
  <c r="J18" i="26" s="1"/>
  <c r="K18" i="26" s="1"/>
  <c r="L18" i="26" s="1"/>
  <c r="C35" i="37"/>
  <c r="H27" i="42" s="1"/>
  <c r="N33" i="42"/>
  <c r="D20" i="9"/>
  <c r="E20" i="9"/>
  <c r="D23" i="17"/>
  <c r="E23" i="17" s="1"/>
  <c r="C18" i="27"/>
  <c r="D29" i="16"/>
  <c r="E29" i="16" s="1"/>
  <c r="D34" i="37"/>
  <c r="E34" i="37" s="1"/>
  <c r="D22" i="32"/>
  <c r="D21" i="32"/>
  <c r="D36" i="32"/>
  <c r="E36" i="32" s="1"/>
  <c r="D17" i="17"/>
  <c r="E17" i="17" s="1"/>
  <c r="D18" i="17"/>
  <c r="E18" i="17" s="1"/>
  <c r="D13" i="17"/>
  <c r="E13" i="17" s="1"/>
  <c r="D14" i="22"/>
  <c r="E14" i="22" s="1"/>
  <c r="D19" i="22"/>
  <c r="E19" i="22" s="1"/>
  <c r="D20" i="22"/>
  <c r="E20" i="22" s="1"/>
  <c r="D22" i="22"/>
  <c r="E22" i="22" s="1"/>
  <c r="C14" i="41"/>
  <c r="S52" i="42" s="1"/>
  <c r="D52" i="42" s="1"/>
  <c r="D28" i="40"/>
  <c r="E28" i="40" s="1"/>
  <c r="R11" i="42"/>
  <c r="R25" i="42"/>
  <c r="R33" i="42"/>
  <c r="C16" i="7"/>
  <c r="C33" i="7" s="1"/>
  <c r="D17" i="30"/>
  <c r="D19" i="30" s="1"/>
  <c r="E19" i="30" s="1"/>
  <c r="C23" i="42"/>
  <c r="C25" i="42"/>
  <c r="C27" i="42"/>
  <c r="E15" i="42"/>
  <c r="E21" i="42"/>
  <c r="E27" i="42"/>
  <c r="G11" i="42"/>
  <c r="G13" i="42"/>
  <c r="G25" i="42"/>
  <c r="G33" i="42"/>
  <c r="H11" i="42"/>
  <c r="H23" i="42"/>
  <c r="H25" i="42"/>
  <c r="I33" i="42"/>
  <c r="J21" i="42"/>
  <c r="J23" i="42"/>
  <c r="J25" i="42"/>
  <c r="J27" i="42"/>
  <c r="J33" i="42"/>
  <c r="C15" i="34"/>
  <c r="C23" i="34" s="1"/>
  <c r="L23" i="42"/>
  <c r="L25" i="42"/>
  <c r="L27" i="42"/>
  <c r="M11" i="42"/>
  <c r="M15" i="42"/>
  <c r="M23" i="42"/>
  <c r="M27" i="42"/>
  <c r="O7" i="42"/>
  <c r="O11" i="42"/>
  <c r="O23" i="42"/>
  <c r="O25" i="42"/>
  <c r="C36" i="16"/>
  <c r="O27" i="42" s="1"/>
  <c r="O33" i="42"/>
  <c r="C31" i="15"/>
  <c r="C41" i="32"/>
  <c r="P11" i="42" s="1"/>
  <c r="P23" i="42"/>
  <c r="P25" i="42"/>
  <c r="C26" i="33"/>
  <c r="P27" i="42"/>
  <c r="P33" i="42"/>
  <c r="C16" i="20"/>
  <c r="D16" i="20" s="1"/>
  <c r="E16" i="20" s="1"/>
  <c r="C26" i="20"/>
  <c r="Q15" i="42" s="1"/>
  <c r="D10" i="10"/>
  <c r="D38" i="16"/>
  <c r="E38" i="16" s="1"/>
  <c r="D35" i="16"/>
  <c r="E35" i="16" s="1"/>
  <c r="D20" i="29"/>
  <c r="D18" i="7"/>
  <c r="D10" i="41"/>
  <c r="D11" i="41"/>
  <c r="E11" i="41" s="1"/>
  <c r="D12" i="41"/>
  <c r="E12" i="41"/>
  <c r="D13" i="41"/>
  <c r="E13" i="41" s="1"/>
  <c r="D19" i="41"/>
  <c r="E19" i="41" s="1"/>
  <c r="D20" i="41"/>
  <c r="E20" i="41"/>
  <c r="D22" i="41"/>
  <c r="E22" i="41" s="1"/>
  <c r="D23" i="41"/>
  <c r="E23" i="41" s="1"/>
  <c r="D24" i="41"/>
  <c r="E24" i="41"/>
  <c r="D25" i="41"/>
  <c r="E25" i="41" s="1"/>
  <c r="D21" i="40"/>
  <c r="E21" i="40"/>
  <c r="D26" i="40"/>
  <c r="E26" i="40" s="1"/>
  <c r="D27" i="40"/>
  <c r="E27" i="40" s="1"/>
  <c r="D32" i="40"/>
  <c r="E32" i="40" s="1"/>
  <c r="D34" i="40"/>
  <c r="E34" i="40" s="1"/>
  <c r="D36" i="40"/>
  <c r="D38" i="40"/>
  <c r="D43" i="40"/>
  <c r="E43" i="40" s="1"/>
  <c r="D11" i="27"/>
  <c r="E11" i="27"/>
  <c r="D13" i="27"/>
  <c r="E13" i="27"/>
  <c r="D15" i="27"/>
  <c r="E15" i="27"/>
  <c r="D16" i="27"/>
  <c r="E16" i="27"/>
  <c r="D17" i="27"/>
  <c r="E17" i="27" s="1"/>
  <c r="D22" i="27"/>
  <c r="E22" i="27"/>
  <c r="D9" i="22"/>
  <c r="E9" i="22" s="1"/>
  <c r="D27" i="22"/>
  <c r="E27" i="22"/>
  <c r="D28" i="22"/>
  <c r="E28" i="22" s="1"/>
  <c r="D29" i="22"/>
  <c r="E29" i="22"/>
  <c r="D41" i="22"/>
  <c r="E41" i="22" s="1"/>
  <c r="D42" i="22"/>
  <c r="E42" i="22" s="1"/>
  <c r="D46" i="22"/>
  <c r="E46" i="22"/>
  <c r="D10" i="20"/>
  <c r="E10" i="20" s="1"/>
  <c r="D11" i="20"/>
  <c r="E11" i="20" s="1"/>
  <c r="D12" i="20"/>
  <c r="E12" i="20" s="1"/>
  <c r="D14" i="20"/>
  <c r="E14" i="20" s="1"/>
  <c r="D15" i="20"/>
  <c r="E15" i="20"/>
  <c r="D22" i="20"/>
  <c r="E22" i="20"/>
  <c r="D23" i="20"/>
  <c r="E23" i="20" s="1"/>
  <c r="D24" i="20"/>
  <c r="D26" i="20" s="1"/>
  <c r="E26" i="20" s="1"/>
  <c r="D25" i="20"/>
  <c r="E25" i="20"/>
  <c r="D10" i="33"/>
  <c r="E10" i="33"/>
  <c r="D11" i="33"/>
  <c r="E11" i="33" s="1"/>
  <c r="D12" i="33"/>
  <c r="E12" i="33" s="1"/>
  <c r="D13" i="33"/>
  <c r="E13" i="33" s="1"/>
  <c r="D14" i="33"/>
  <c r="D15" i="33"/>
  <c r="E15" i="33" s="1"/>
  <c r="D18" i="33"/>
  <c r="E18" i="33" s="1"/>
  <c r="D20" i="33"/>
  <c r="E20" i="33" s="1"/>
  <c r="D23" i="33"/>
  <c r="E23" i="33" s="1"/>
  <c r="D26" i="33"/>
  <c r="E26" i="33" s="1"/>
  <c r="D24" i="33"/>
  <c r="E24" i="33" s="1"/>
  <c r="D25" i="33"/>
  <c r="E25" i="33" s="1"/>
  <c r="D29" i="33"/>
  <c r="D30" i="33"/>
  <c r="E30" i="33" s="1"/>
  <c r="D31" i="33"/>
  <c r="E31" i="33" s="1"/>
  <c r="D32" i="33"/>
  <c r="E32" i="33" s="1"/>
  <c r="D36" i="33"/>
  <c r="E36" i="33" s="1"/>
  <c r="D28" i="15"/>
  <c r="E28" i="15" s="1"/>
  <c r="D29" i="15"/>
  <c r="E29" i="15" s="1"/>
  <c r="D30" i="15"/>
  <c r="E30" i="15"/>
  <c r="D25" i="15"/>
  <c r="E25" i="15" s="1"/>
  <c r="D23" i="15"/>
  <c r="E23" i="15" s="1"/>
  <c r="D18" i="15"/>
  <c r="E18" i="15" s="1"/>
  <c r="D13" i="15"/>
  <c r="E13" i="15"/>
  <c r="D14" i="15"/>
  <c r="E14" i="15" s="1"/>
  <c r="D11" i="32"/>
  <c r="E11" i="32"/>
  <c r="D13" i="32"/>
  <c r="E13" i="32" s="1"/>
  <c r="D14" i="32"/>
  <c r="E14" i="32" s="1"/>
  <c r="D17" i="32"/>
  <c r="E17" i="32" s="1"/>
  <c r="D18" i="32"/>
  <c r="E18" i="32" s="1"/>
  <c r="D35" i="32"/>
  <c r="E35" i="32" s="1"/>
  <c r="D37" i="32"/>
  <c r="D40" i="32"/>
  <c r="D41" i="32" s="1"/>
  <c r="E41" i="32" s="1"/>
  <c r="D43" i="32"/>
  <c r="E43" i="32" s="1"/>
  <c r="D11" i="16"/>
  <c r="E11" i="16" s="1"/>
  <c r="D12" i="16"/>
  <c r="E12" i="16" s="1"/>
  <c r="D13" i="16"/>
  <c r="E13" i="16" s="1"/>
  <c r="D14" i="16"/>
  <c r="D15" i="16"/>
  <c r="E15" i="16" s="1"/>
  <c r="D21" i="16"/>
  <c r="E21" i="16"/>
  <c r="D22" i="16"/>
  <c r="E22" i="16"/>
  <c r="D23" i="16"/>
  <c r="E23" i="16"/>
  <c r="D32" i="16"/>
  <c r="E32" i="16" s="1"/>
  <c r="D11" i="30"/>
  <c r="E11" i="30" s="1"/>
  <c r="D12" i="30"/>
  <c r="D13" i="30"/>
  <c r="E13" i="30" s="1"/>
  <c r="D21" i="30"/>
  <c r="D22" i="30" s="1"/>
  <c r="D28" i="30"/>
  <c r="E28" i="30" s="1"/>
  <c r="D24" i="17"/>
  <c r="E24" i="17" s="1"/>
  <c r="D25" i="17"/>
  <c r="D10" i="7"/>
  <c r="E10" i="7"/>
  <c r="E14" i="7"/>
  <c r="D15" i="7"/>
  <c r="D16" i="7"/>
  <c r="D20" i="7"/>
  <c r="E20" i="7"/>
  <c r="D23" i="7"/>
  <c r="E23" i="7" s="1"/>
  <c r="D26" i="7"/>
  <c r="E26" i="7" s="1"/>
  <c r="D29" i="7"/>
  <c r="E29" i="7"/>
  <c r="D11" i="8"/>
  <c r="E11" i="8"/>
  <c r="D16" i="8"/>
  <c r="E16" i="8" s="1"/>
  <c r="D20" i="8"/>
  <c r="E20" i="8" s="1"/>
  <c r="D23" i="8"/>
  <c r="E23" i="8" s="1"/>
  <c r="D26" i="8"/>
  <c r="E26" i="8" s="1"/>
  <c r="D29" i="8"/>
  <c r="E29" i="8" s="1"/>
  <c r="D11" i="9"/>
  <c r="E11" i="9" s="1"/>
  <c r="D12" i="9"/>
  <c r="E12" i="9"/>
  <c r="D13" i="9"/>
  <c r="E13" i="9"/>
  <c r="D23" i="9"/>
  <c r="E23" i="9" s="1"/>
  <c r="D26" i="9"/>
  <c r="E26" i="9" s="1"/>
  <c r="D29" i="9"/>
  <c r="E29" i="9" s="1"/>
  <c r="D13" i="34"/>
  <c r="D15" i="34" s="1"/>
  <c r="E13" i="34"/>
  <c r="D14" i="34"/>
  <c r="E14" i="34"/>
  <c r="D20" i="34"/>
  <c r="D18" i="10"/>
  <c r="E18" i="10" s="1"/>
  <c r="D21" i="10"/>
  <c r="E21" i="10" s="1"/>
  <c r="D24" i="10"/>
  <c r="E24" i="10" s="1"/>
  <c r="D27" i="10"/>
  <c r="E27" i="10" s="1"/>
  <c r="D30" i="10"/>
  <c r="E30" i="10" s="1"/>
  <c r="D10" i="11"/>
  <c r="E10" i="11" s="1"/>
  <c r="D17" i="11"/>
  <c r="D18" i="11"/>
  <c r="D30" i="11"/>
  <c r="E30" i="11" s="1"/>
  <c r="D33" i="11"/>
  <c r="E33" i="11" s="1"/>
  <c r="D34" i="11"/>
  <c r="E34" i="11"/>
  <c r="D35" i="11"/>
  <c r="E35" i="11"/>
  <c r="D38" i="11"/>
  <c r="E38" i="11" s="1"/>
  <c r="D39" i="11"/>
  <c r="E39" i="11" s="1"/>
  <c r="D15" i="37"/>
  <c r="D18" i="37"/>
  <c r="E18" i="37"/>
  <c r="D27" i="37"/>
  <c r="E27" i="37" s="1"/>
  <c r="D30" i="37"/>
  <c r="E30" i="37" s="1"/>
  <c r="D33" i="37"/>
  <c r="E33" i="37" s="1"/>
  <c r="D23" i="29"/>
  <c r="D25" i="29"/>
  <c r="E25" i="29"/>
  <c r="D30" i="29"/>
  <c r="E30" i="29" s="1"/>
  <c r="D10" i="35"/>
  <c r="D13" i="35" s="1"/>
  <c r="E13" i="35" s="1"/>
  <c r="D12" i="35"/>
  <c r="E12" i="35" s="1"/>
  <c r="D16" i="35"/>
  <c r="E16" i="35" s="1"/>
  <c r="D20" i="35"/>
  <c r="E20" i="35" s="1"/>
  <c r="D23" i="35"/>
  <c r="E23" i="35" s="1"/>
  <c r="D27" i="35"/>
  <c r="E27" i="35" s="1"/>
  <c r="D28" i="35"/>
  <c r="E28" i="35" s="1"/>
  <c r="D29" i="35"/>
  <c r="E29" i="35" s="1"/>
  <c r="D30" i="35"/>
  <c r="E30" i="35" s="1"/>
  <c r="D32" i="35"/>
  <c r="E32" i="35"/>
  <c r="D36" i="35"/>
  <c r="E36" i="35"/>
  <c r="D42" i="35"/>
  <c r="E42" i="35" s="1"/>
  <c r="D45" i="35"/>
  <c r="E45" i="35" s="1"/>
  <c r="D46" i="35"/>
  <c r="E46" i="35" s="1"/>
  <c r="D9" i="6"/>
  <c r="E9" i="6" s="1"/>
  <c r="D10" i="6"/>
  <c r="E10" i="6" s="1"/>
  <c r="D12" i="6"/>
  <c r="E12" i="6" s="1"/>
  <c r="D14" i="6"/>
  <c r="E14" i="6" s="1"/>
  <c r="D20" i="6"/>
  <c r="E20" i="6"/>
  <c r="D24" i="6"/>
  <c r="E24" i="6" s="1"/>
  <c r="D27" i="6"/>
  <c r="E27" i="6" s="1"/>
  <c r="D28" i="6"/>
  <c r="E28" i="6"/>
  <c r="D31" i="6"/>
  <c r="E31" i="6" s="1"/>
  <c r="D34" i="6"/>
  <c r="E34" i="6" s="1"/>
  <c r="D10" i="5"/>
  <c r="D11" i="5"/>
  <c r="D12" i="5"/>
  <c r="E12" i="5" s="1"/>
  <c r="D30" i="5"/>
  <c r="D31" i="5" s="1"/>
  <c r="E31" i="5" s="1"/>
  <c r="D33" i="5"/>
  <c r="D34" i="5"/>
  <c r="E34" i="5" s="1"/>
  <c r="D37" i="5"/>
  <c r="E37" i="5" s="1"/>
  <c r="D40" i="5"/>
  <c r="E40" i="5" s="1"/>
  <c r="D41" i="5"/>
  <c r="E41" i="5" s="1"/>
  <c r="D14" i="23"/>
  <c r="E14" i="23" s="1"/>
  <c r="D16" i="23"/>
  <c r="E16" i="23" s="1"/>
  <c r="D17" i="23"/>
  <c r="E17" i="23" s="1"/>
  <c r="D18" i="23"/>
  <c r="E18" i="23" s="1"/>
  <c r="D22" i="23"/>
  <c r="E22" i="23"/>
  <c r="D25" i="23"/>
  <c r="E25" i="23"/>
  <c r="D28" i="23"/>
  <c r="E28" i="23" s="1"/>
  <c r="D29" i="23"/>
  <c r="E29" i="23" s="1"/>
  <c r="D35" i="23"/>
  <c r="E35" i="23" s="1"/>
  <c r="D39" i="23"/>
  <c r="E39" i="23" s="1"/>
  <c r="D44" i="23"/>
  <c r="E44" i="23"/>
  <c r="D47" i="23"/>
  <c r="E47" i="23" s="1"/>
  <c r="D49" i="23"/>
  <c r="E49" i="23" s="1"/>
  <c r="D51" i="23"/>
  <c r="E51" i="23"/>
  <c r="D12" i="24"/>
  <c r="E12" i="24" s="1"/>
  <c r="D13" i="24"/>
  <c r="E13" i="24" s="1"/>
  <c r="D14" i="24"/>
  <c r="E14" i="24" s="1"/>
  <c r="D15" i="24"/>
  <c r="E15" i="24" s="1"/>
  <c r="D16" i="24"/>
  <c r="E16" i="24" s="1"/>
  <c r="D22" i="24"/>
  <c r="E22" i="24" s="1"/>
  <c r="D25" i="24"/>
  <c r="E25" i="24" s="1"/>
  <c r="D26" i="24"/>
  <c r="E26" i="24" s="1"/>
  <c r="D36" i="24"/>
  <c r="E36" i="24" s="1"/>
  <c r="D39" i="24"/>
  <c r="E39" i="24" s="1"/>
  <c r="D40" i="24"/>
  <c r="E40" i="24" s="1"/>
  <c r="D43" i="24"/>
  <c r="E43" i="24" s="1"/>
  <c r="D44" i="24"/>
  <c r="E44" i="24" s="1"/>
  <c r="D45" i="24"/>
  <c r="S3" i="42"/>
  <c r="B63" i="42"/>
  <c r="C63" i="42"/>
  <c r="D63" i="42"/>
  <c r="E63" i="42"/>
  <c r="G63" i="42"/>
  <c r="H63" i="42"/>
  <c r="I63" i="42"/>
  <c r="J63" i="42"/>
  <c r="L63" i="42"/>
  <c r="M63" i="42"/>
  <c r="N63" i="42"/>
  <c r="O63" i="42"/>
  <c r="P63" i="42"/>
  <c r="Q63" i="42"/>
  <c r="R63" i="42"/>
  <c r="B64" i="42"/>
  <c r="C64" i="42"/>
  <c r="D64" i="42"/>
  <c r="E64" i="42"/>
  <c r="G64" i="42"/>
  <c r="H64" i="42"/>
  <c r="I64" i="42"/>
  <c r="J64" i="42"/>
  <c r="L64" i="42"/>
  <c r="M64" i="42"/>
  <c r="N64" i="42"/>
  <c r="O64" i="42"/>
  <c r="P64" i="42"/>
  <c r="Q64" i="42"/>
  <c r="R64" i="42"/>
  <c r="S65" i="42"/>
  <c r="L65" i="42" s="1"/>
  <c r="H65" i="42"/>
  <c r="C15" i="26"/>
  <c r="E15" i="26" s="1"/>
  <c r="C18" i="26"/>
  <c r="E18" i="26" s="1"/>
  <c r="D10" i="30"/>
  <c r="E10" i="30" s="1"/>
  <c r="D26" i="22"/>
  <c r="D31" i="22" s="1"/>
  <c r="E31" i="22" s="1"/>
  <c r="D24" i="24"/>
  <c r="E24" i="24" s="1"/>
  <c r="D22" i="17"/>
  <c r="D14" i="27"/>
  <c r="E14" i="27" s="1"/>
  <c r="D9" i="17"/>
  <c r="E15" i="7"/>
  <c r="E16" i="7"/>
  <c r="D12" i="17"/>
  <c r="U24" i="26"/>
  <c r="D10" i="8"/>
  <c r="D12" i="8" s="1"/>
  <c r="E12" i="8" s="1"/>
  <c r="E10" i="34"/>
  <c r="B23" i="34"/>
  <c r="D21" i="37"/>
  <c r="E21" i="37" s="1"/>
  <c r="U21" i="26"/>
  <c r="E9" i="26"/>
  <c r="E21" i="26"/>
  <c r="E19" i="26"/>
  <c r="E10" i="26"/>
  <c r="U18" i="26"/>
  <c r="U17" i="26"/>
  <c r="U13" i="26"/>
  <c r="U8" i="26"/>
  <c r="Y16" i="26"/>
  <c r="D29" i="32"/>
  <c r="E29" i="32" s="1"/>
  <c r="D41" i="35"/>
  <c r="E41" i="35" s="1"/>
  <c r="E36" i="40"/>
  <c r="Y25" i="26"/>
  <c r="Y23" i="26"/>
  <c r="Y10" i="26"/>
  <c r="Y13" i="26"/>
  <c r="U19" i="26"/>
  <c r="U22" i="26"/>
  <c r="U23" i="26"/>
  <c r="B65" i="42"/>
  <c r="C26" i="41"/>
  <c r="S54" i="42" s="1"/>
  <c r="D54" i="42" s="1"/>
  <c r="E17" i="41"/>
  <c r="D10" i="40"/>
  <c r="E10" i="40" s="1"/>
  <c r="N27" i="42"/>
  <c r="E12" i="17"/>
  <c r="R23" i="42"/>
  <c r="D13" i="22"/>
  <c r="E13" i="22" s="1"/>
  <c r="D43" i="22"/>
  <c r="E14" i="26"/>
  <c r="E17" i="26"/>
  <c r="Q65" i="42"/>
  <c r="P65" i="42"/>
  <c r="N65" i="42"/>
  <c r="C65" i="42"/>
  <c r="I65" i="42"/>
  <c r="E65" i="42"/>
  <c r="O65" i="42"/>
  <c r="J65" i="42"/>
  <c r="G65" i="42"/>
  <c r="M65" i="42"/>
  <c r="D10" i="37"/>
  <c r="E10" i="37" s="1"/>
  <c r="D14" i="37"/>
  <c r="E14" i="37" s="1"/>
  <c r="B40" i="42"/>
  <c r="C22" i="40"/>
  <c r="S44" i="42" s="1"/>
  <c r="G40" i="42"/>
  <c r="E40" i="42"/>
  <c r="L40" i="42"/>
  <c r="M40" i="42"/>
  <c r="P40" i="42"/>
  <c r="O40" i="42"/>
  <c r="N40" i="42"/>
  <c r="D40" i="42"/>
  <c r="H40" i="42"/>
  <c r="F40" i="42"/>
  <c r="E41" i="23"/>
  <c r="D21" i="23"/>
  <c r="E21" i="23" s="1"/>
  <c r="B15" i="44"/>
  <c r="B31" i="44" s="1"/>
  <c r="K36" i="42" s="1"/>
  <c r="D10" i="44"/>
  <c r="E10" i="44" s="1"/>
  <c r="F8" i="26"/>
  <c r="G8" i="26" s="1"/>
  <c r="A2" i="10"/>
  <c r="C14" i="9"/>
  <c r="L7" i="42" s="1"/>
  <c r="E20" i="40"/>
  <c r="S50" i="42"/>
  <c r="E50" i="42" s="1"/>
  <c r="C40" i="16"/>
  <c r="D29" i="17"/>
  <c r="E26" i="22"/>
  <c r="B38" i="32"/>
  <c r="B30" i="23"/>
  <c r="C17" i="8"/>
  <c r="M9" i="42" s="1"/>
  <c r="D10" i="15"/>
  <c r="E10" i="15" s="1"/>
  <c r="B15" i="15"/>
  <c r="B47" i="35"/>
  <c r="E36" i="22"/>
  <c r="E38" i="40"/>
  <c r="K52" i="42"/>
  <c r="Q52" i="42"/>
  <c r="H52" i="42"/>
  <c r="A2" i="17"/>
  <c r="A2" i="15"/>
  <c r="A2" i="11"/>
  <c r="D37" i="24"/>
  <c r="E37" i="24" s="1"/>
  <c r="A2" i="30"/>
  <c r="A2" i="32"/>
  <c r="A2" i="29"/>
  <c r="D17" i="6"/>
  <c r="E17" i="6" s="1"/>
  <c r="D24" i="29"/>
  <c r="E24" i="29" s="1"/>
  <c r="D19" i="11"/>
  <c r="E17" i="11"/>
  <c r="D9" i="11"/>
  <c r="E9" i="11"/>
  <c r="D11" i="11"/>
  <c r="E11" i="11" s="1"/>
  <c r="D19" i="10"/>
  <c r="K8" i="26" l="1"/>
  <c r="L8" i="26" s="1"/>
  <c r="J15" i="26"/>
  <c r="K15" i="26" s="1"/>
  <c r="L15" i="26" s="1"/>
  <c r="B30" i="41"/>
  <c r="T56" i="42" s="1"/>
  <c r="D44" i="40"/>
  <c r="E44" i="40" s="1"/>
  <c r="Q7" i="42"/>
  <c r="Q35" i="42" s="1"/>
  <c r="D19" i="20"/>
  <c r="E19" i="20" s="1"/>
  <c r="C29" i="20"/>
  <c r="D37" i="22"/>
  <c r="E37" i="22" s="1"/>
  <c r="D16" i="33"/>
  <c r="E16" i="33" s="1"/>
  <c r="D12" i="32"/>
  <c r="E12" i="32" s="1"/>
  <c r="E40" i="32"/>
  <c r="C38" i="32"/>
  <c r="P9" i="42" s="1"/>
  <c r="E20" i="15"/>
  <c r="D21" i="15"/>
  <c r="E21" i="15" s="1"/>
  <c r="C21" i="15"/>
  <c r="B36" i="15"/>
  <c r="B7" i="32" s="1"/>
  <c r="B23" i="32" s="1"/>
  <c r="B54" i="32" s="1"/>
  <c r="B7" i="33" s="1"/>
  <c r="D31" i="15"/>
  <c r="E22" i="30"/>
  <c r="D34" i="17"/>
  <c r="E34" i="17" s="1"/>
  <c r="D14" i="17"/>
  <c r="E14" i="17" s="1"/>
  <c r="E10" i="8"/>
  <c r="D26" i="29"/>
  <c r="C47" i="35"/>
  <c r="G15" i="42" s="1"/>
  <c r="D15" i="35"/>
  <c r="E15" i="35" s="1"/>
  <c r="C15" i="6"/>
  <c r="C36" i="6" s="1"/>
  <c r="S29" i="42"/>
  <c r="M54" i="42"/>
  <c r="I50" i="42"/>
  <c r="R50" i="42"/>
  <c r="C50" i="42"/>
  <c r="Q50" i="42"/>
  <c r="Q37" i="42"/>
  <c r="F14" i="26"/>
  <c r="F19" i="26"/>
  <c r="F17" i="26"/>
  <c r="F13" i="26"/>
  <c r="G13" i="26" s="1"/>
  <c r="F21" i="26"/>
  <c r="F16" i="26"/>
  <c r="G16" i="26" s="1"/>
  <c r="F10" i="26"/>
  <c r="F18" i="26"/>
  <c r="G18" i="26" s="1"/>
  <c r="F15" i="26"/>
  <c r="G15" i="26" s="1"/>
  <c r="F22" i="26"/>
  <c r="G22" i="26" s="1"/>
  <c r="F11" i="26"/>
  <c r="G11" i="26" s="1"/>
  <c r="E26" i="26"/>
  <c r="A2" i="20"/>
  <c r="A2" i="7"/>
  <c r="A2" i="5"/>
  <c r="A2" i="45"/>
  <c r="A2" i="40"/>
  <c r="A2" i="16"/>
  <c r="D30" i="26"/>
  <c r="O35" i="42"/>
  <c r="O37" i="42" s="1"/>
  <c r="J40" i="42"/>
  <c r="D39" i="40"/>
  <c r="E39" i="40" s="1"/>
  <c r="E33" i="32"/>
  <c r="D38" i="32"/>
  <c r="E38" i="32" s="1"/>
  <c r="E31" i="15"/>
  <c r="D23" i="34"/>
  <c r="E23" i="34" s="1"/>
  <c r="E15" i="34"/>
  <c r="E43" i="22"/>
  <c r="F54" i="42"/>
  <c r="Q48" i="42"/>
  <c r="C48" i="42"/>
  <c r="R48" i="42"/>
  <c r="D48" i="42"/>
  <c r="B48" i="42"/>
  <c r="F48" i="42"/>
  <c r="H48" i="42"/>
  <c r="I48" i="42"/>
  <c r="M48" i="42"/>
  <c r="L48" i="42"/>
  <c r="P48" i="42"/>
  <c r="O52" i="42"/>
  <c r="R54" i="42"/>
  <c r="C49" i="35"/>
  <c r="C7" i="29" s="1"/>
  <c r="L50" i="42"/>
  <c r="E10" i="41"/>
  <c r="D14" i="41"/>
  <c r="E14" i="41" s="1"/>
  <c r="E29" i="33"/>
  <c r="D33" i="33"/>
  <c r="E33" i="33" s="1"/>
  <c r="P54" i="42"/>
  <c r="D18" i="9"/>
  <c r="E18" i="9" s="1"/>
  <c r="E15" i="37"/>
  <c r="D16" i="37"/>
  <c r="E16" i="37" s="1"/>
  <c r="D10" i="9"/>
  <c r="B47" i="17"/>
  <c r="B7" i="30" s="1"/>
  <c r="B31" i="30" s="1"/>
  <c r="N36" i="42" s="1"/>
  <c r="D17" i="16"/>
  <c r="E17" i="16" s="1"/>
  <c r="D42" i="5"/>
  <c r="E42" i="5" s="1"/>
  <c r="N52" i="42"/>
  <c r="L52" i="42"/>
  <c r="G52" i="42"/>
  <c r="I52" i="42"/>
  <c r="F52" i="42"/>
  <c r="P52" i="42"/>
  <c r="M52" i="42"/>
  <c r="D11" i="29"/>
  <c r="E11" i="29" s="1"/>
  <c r="C14" i="29"/>
  <c r="G17" i="42" s="1"/>
  <c r="G35" i="42" s="1"/>
  <c r="G37" i="42" s="1"/>
  <c r="D15" i="15"/>
  <c r="E15" i="15" s="1"/>
  <c r="B50" i="42"/>
  <c r="D50" i="42"/>
  <c r="N50" i="42"/>
  <c r="M50" i="42"/>
  <c r="H50" i="42"/>
  <c r="C15" i="44"/>
  <c r="K9" i="42" s="1"/>
  <c r="K35" i="42" s="1"/>
  <c r="K37" i="42" s="1"/>
  <c r="D13" i="44"/>
  <c r="J50" i="42"/>
  <c r="O50" i="42"/>
  <c r="D33" i="7"/>
  <c r="E33" i="7" s="1"/>
  <c r="D18" i="27"/>
  <c r="E18" i="27" s="1"/>
  <c r="D25" i="40"/>
  <c r="C29" i="40"/>
  <c r="L54" i="42"/>
  <c r="O48" i="42"/>
  <c r="D23" i="22"/>
  <c r="E23" i="22" s="1"/>
  <c r="C54" i="42"/>
  <c r="G50" i="42"/>
  <c r="P50" i="42"/>
  <c r="E23" i="42"/>
  <c r="S23" i="42" s="1"/>
  <c r="D29" i="6"/>
  <c r="E29" i="6" s="1"/>
  <c r="C36" i="8"/>
  <c r="M7" i="42"/>
  <c r="M35" i="42" s="1"/>
  <c r="M37" i="42" s="1"/>
  <c r="D13" i="45"/>
  <c r="C15" i="45"/>
  <c r="D15" i="11"/>
  <c r="E15" i="11" s="1"/>
  <c r="E13" i="11"/>
  <c r="C49" i="22"/>
  <c r="C8" i="27" s="1"/>
  <c r="D36" i="23"/>
  <c r="E36" i="23" s="1"/>
  <c r="E26" i="29"/>
  <c r="B52" i="42"/>
  <c r="B37" i="10"/>
  <c r="J36" i="42" s="1"/>
  <c r="H54" i="42"/>
  <c r="N44" i="42"/>
  <c r="D44" i="42"/>
  <c r="M44" i="42"/>
  <c r="D29" i="20"/>
  <c r="E29" i="20" s="1"/>
  <c r="F50" i="42"/>
  <c r="R27" i="42"/>
  <c r="N48" i="42"/>
  <c r="D17" i="35"/>
  <c r="E17" i="35" s="1"/>
  <c r="E52" i="42"/>
  <c r="N54" i="42"/>
  <c r="C15" i="10"/>
  <c r="J9" i="42" s="1"/>
  <c r="J52" i="42"/>
  <c r="A2" i="9"/>
  <c r="A2" i="35"/>
  <c r="A2" i="33"/>
  <c r="A2" i="34"/>
  <c r="A2" i="23"/>
  <c r="A2" i="27"/>
  <c r="A2" i="41"/>
  <c r="A2" i="6"/>
  <c r="A2" i="44"/>
  <c r="A2" i="8"/>
  <c r="A2" i="37"/>
  <c r="F7" i="42"/>
  <c r="J54" i="42"/>
  <c r="Q54" i="42"/>
  <c r="I54" i="42"/>
  <c r="E54" i="42"/>
  <c r="O54" i="42"/>
  <c r="G54" i="42"/>
  <c r="D36" i="6"/>
  <c r="E36" i="6" s="1"/>
  <c r="K48" i="42"/>
  <c r="B41" i="33"/>
  <c r="P36" i="42" s="1"/>
  <c r="C11" i="10"/>
  <c r="D9" i="10"/>
  <c r="E9" i="10" s="1"/>
  <c r="G48" i="42"/>
  <c r="C15" i="15"/>
  <c r="C36" i="15" s="1"/>
  <c r="C7" i="32" s="1"/>
  <c r="C23" i="32" s="1"/>
  <c r="K50" i="42"/>
  <c r="D15" i="32"/>
  <c r="C37" i="37"/>
  <c r="H9" i="42"/>
  <c r="H35" i="42" s="1"/>
  <c r="H37" i="42" s="1"/>
  <c r="D42" i="23"/>
  <c r="E42" i="23" s="1"/>
  <c r="B45" i="23"/>
  <c r="B54" i="23" s="1"/>
  <c r="C36" i="42" s="1"/>
  <c r="E48" i="42"/>
  <c r="J48" i="42"/>
  <c r="D14" i="30"/>
  <c r="E14" i="30" s="1"/>
  <c r="E12" i="30"/>
  <c r="E33" i="22"/>
  <c r="D38" i="22"/>
  <c r="E38" i="22" s="1"/>
  <c r="B50" i="11"/>
  <c r="I36" i="42" s="1"/>
  <c r="R52" i="42"/>
  <c r="B54" i="42"/>
  <c r="D38" i="17"/>
  <c r="E38" i="17" s="1"/>
  <c r="E29" i="17"/>
  <c r="E10" i="35"/>
  <c r="E10" i="45"/>
  <c r="C52" i="42"/>
  <c r="K54" i="42"/>
  <c r="S11" i="42"/>
  <c r="D26" i="41"/>
  <c r="E26" i="41" s="1"/>
  <c r="C15" i="11"/>
  <c r="I9" i="42" s="1"/>
  <c r="I35" i="42" s="1"/>
  <c r="D65" i="42"/>
  <c r="I40" i="42"/>
  <c r="D15" i="8"/>
  <c r="C17" i="24"/>
  <c r="C51" i="24" s="1"/>
  <c r="C40" i="42"/>
  <c r="E24" i="20"/>
  <c r="D36" i="16"/>
  <c r="E36" i="16" s="1"/>
  <c r="C18" i="9"/>
  <c r="C52" i="32"/>
  <c r="D36" i="11"/>
  <c r="E36" i="11" s="1"/>
  <c r="Q40" i="42"/>
  <c r="D26" i="17"/>
  <c r="E26" i="17" s="1"/>
  <c r="E23" i="29"/>
  <c r="B17" i="5"/>
  <c r="B48" i="5" s="1"/>
  <c r="D36" i="42" s="1"/>
  <c r="C36" i="23"/>
  <c r="C9" i="42" s="1"/>
  <c r="B49" i="22"/>
  <c r="B8" i="27" s="1"/>
  <c r="B26" i="27" s="1"/>
  <c r="R36" i="42" s="1"/>
  <c r="D20" i="16"/>
  <c r="R65" i="42"/>
  <c r="R17" i="42"/>
  <c r="R35" i="42" s="1"/>
  <c r="R40" i="42"/>
  <c r="E15" i="40"/>
  <c r="D16" i="40"/>
  <c r="E16" i="40" s="1"/>
  <c r="D22" i="40"/>
  <c r="E19" i="40"/>
  <c r="R44" i="42"/>
  <c r="C16" i="40"/>
  <c r="J44" i="42"/>
  <c r="K44" i="42"/>
  <c r="P44" i="42"/>
  <c r="F44" i="42"/>
  <c r="G44" i="42"/>
  <c r="H44" i="42"/>
  <c r="I44" i="42"/>
  <c r="B44" i="42"/>
  <c r="O44" i="42"/>
  <c r="Q44" i="42"/>
  <c r="C44" i="42"/>
  <c r="E44" i="42"/>
  <c r="L44" i="42"/>
  <c r="E7" i="42"/>
  <c r="D15" i="6"/>
  <c r="E15" i="6" s="1"/>
  <c r="S21" i="42"/>
  <c r="D15" i="10"/>
  <c r="E15" i="10" s="1"/>
  <c r="E14" i="10"/>
  <c r="D11" i="10"/>
  <c r="E11" i="10" s="1"/>
  <c r="E19" i="10"/>
  <c r="D27" i="42"/>
  <c r="S27" i="42" s="1"/>
  <c r="D35" i="5"/>
  <c r="E35" i="5" s="1"/>
  <c r="D13" i="5"/>
  <c r="E13" i="5" s="1"/>
  <c r="E30" i="5"/>
  <c r="D16" i="5"/>
  <c r="E16" i="5" s="1"/>
  <c r="E33" i="5"/>
  <c r="D15" i="5"/>
  <c r="E15" i="5" s="1"/>
  <c r="X27" i="26"/>
  <c r="Y27" i="26"/>
  <c r="U27" i="26"/>
  <c r="R27" i="26"/>
  <c r="F28" i="26"/>
  <c r="G28" i="26" s="1"/>
  <c r="C30" i="23"/>
  <c r="C7" i="42" s="1"/>
  <c r="D30" i="23"/>
  <c r="E12" i="23"/>
  <c r="E11" i="5"/>
  <c r="D38" i="5"/>
  <c r="C17" i="5"/>
  <c r="C48" i="5" s="1"/>
  <c r="D17" i="24"/>
  <c r="D27" i="24"/>
  <c r="E27" i="24" s="1"/>
  <c r="D41" i="24"/>
  <c r="E41" i="24" s="1"/>
  <c r="D46" i="24"/>
  <c r="E46" i="24" s="1"/>
  <c r="S33" i="42"/>
  <c r="E45" i="24"/>
  <c r="D19" i="24"/>
  <c r="E19" i="24" s="1"/>
  <c r="D47" i="35"/>
  <c r="E47" i="35" s="1"/>
  <c r="D37" i="37"/>
  <c r="E37" i="37" s="1"/>
  <c r="D35" i="37"/>
  <c r="E35" i="37" s="1"/>
  <c r="S25" i="42"/>
  <c r="D40" i="11"/>
  <c r="E40" i="11" s="1"/>
  <c r="S19" i="42"/>
  <c r="D27" i="11"/>
  <c r="E27" i="11" s="1"/>
  <c r="E19" i="11"/>
  <c r="E17" i="30"/>
  <c r="C47" i="17"/>
  <c r="C7" i="30" s="1"/>
  <c r="E22" i="17"/>
  <c r="S13" i="42"/>
  <c r="N35" i="42"/>
  <c r="D19" i="17"/>
  <c r="E19" i="17" s="1"/>
  <c r="E9" i="17"/>
  <c r="J26" i="26" l="1"/>
  <c r="D8" i="27"/>
  <c r="D49" i="22"/>
  <c r="E49" i="22" s="1"/>
  <c r="D7" i="30"/>
  <c r="C33" i="29"/>
  <c r="B7" i="42"/>
  <c r="B35" i="42" s="1"/>
  <c r="C35" i="42"/>
  <c r="C37" i="42" s="1"/>
  <c r="I37" i="42"/>
  <c r="N37" i="42"/>
  <c r="F26" i="26"/>
  <c r="G26" i="26" s="1"/>
  <c r="S46" i="42"/>
  <c r="Q46" i="42" s="1"/>
  <c r="C26" i="27"/>
  <c r="P7" i="42"/>
  <c r="P35" i="42" s="1"/>
  <c r="P37" i="42" s="1"/>
  <c r="C54" i="32"/>
  <c r="C7" i="33" s="1"/>
  <c r="D47" i="17"/>
  <c r="E47" i="17" s="1"/>
  <c r="E17" i="24"/>
  <c r="D51" i="24"/>
  <c r="E51" i="24" s="1"/>
  <c r="E10" i="9"/>
  <c r="D14" i="9"/>
  <c r="C50" i="11"/>
  <c r="E35" i="42"/>
  <c r="E37" i="42" s="1"/>
  <c r="D7" i="29"/>
  <c r="E7" i="29" s="1"/>
  <c r="J7" i="42"/>
  <c r="J35" i="42" s="1"/>
  <c r="E15" i="32"/>
  <c r="H46" i="42"/>
  <c r="J46" i="42"/>
  <c r="M46" i="42"/>
  <c r="R46" i="42"/>
  <c r="S17" i="42"/>
  <c r="D29" i="40"/>
  <c r="E29" i="40" s="1"/>
  <c r="E25" i="40"/>
  <c r="C31" i="44"/>
  <c r="D15" i="44"/>
  <c r="E13" i="44"/>
  <c r="D52" i="32"/>
  <c r="E52" i="32" s="1"/>
  <c r="P15" i="42"/>
  <c r="S15" i="42" s="1"/>
  <c r="C33" i="9"/>
  <c r="L9" i="42"/>
  <c r="L35" i="42" s="1"/>
  <c r="L37" i="42" s="1"/>
  <c r="D36" i="15"/>
  <c r="D45" i="23"/>
  <c r="E45" i="23" s="1"/>
  <c r="E20" i="16"/>
  <c r="D24" i="16"/>
  <c r="E13" i="45"/>
  <c r="D15" i="45"/>
  <c r="D37" i="10"/>
  <c r="E37" i="10" s="1"/>
  <c r="D14" i="29"/>
  <c r="E14" i="29" s="1"/>
  <c r="D17" i="8"/>
  <c r="E15" i="8"/>
  <c r="F9" i="42"/>
  <c r="F35" i="42" s="1"/>
  <c r="F37" i="42" s="1"/>
  <c r="C34" i="45"/>
  <c r="C46" i="40"/>
  <c r="C7" i="41" s="1"/>
  <c r="S42" i="42"/>
  <c r="E22" i="40"/>
  <c r="D17" i="5"/>
  <c r="E30" i="26"/>
  <c r="F30" i="26" s="1"/>
  <c r="G30" i="26" s="1"/>
  <c r="C54" i="23"/>
  <c r="D54" i="23"/>
  <c r="E54" i="23" s="1"/>
  <c r="E30" i="23"/>
  <c r="D9" i="42"/>
  <c r="E38" i="5"/>
  <c r="B37" i="42"/>
  <c r="D49" i="35"/>
  <c r="E49" i="35" s="1"/>
  <c r="D50" i="11"/>
  <c r="E50" i="11" s="1"/>
  <c r="C31" i="30"/>
  <c r="D31" i="30"/>
  <c r="E31" i="30" s="1"/>
  <c r="E7" i="30"/>
  <c r="E8" i="27"/>
  <c r="D26" i="27"/>
  <c r="E26" i="27" s="1"/>
  <c r="R37" i="42"/>
  <c r="S36" i="42"/>
  <c r="K26" i="26" l="1"/>
  <c r="L26" i="26" s="1"/>
  <c r="J30" i="26"/>
  <c r="P46" i="42"/>
  <c r="N46" i="42"/>
  <c r="I46" i="42"/>
  <c r="E46" i="42"/>
  <c r="K46" i="42"/>
  <c r="L46" i="42"/>
  <c r="G46" i="42"/>
  <c r="S7" i="42"/>
  <c r="S35" i="42" s="1"/>
  <c r="F46" i="42"/>
  <c r="B46" i="42"/>
  <c r="O46" i="42"/>
  <c r="C46" i="42"/>
  <c r="D46" i="42"/>
  <c r="E24" i="16"/>
  <c r="D40" i="16"/>
  <c r="E40" i="16" s="1"/>
  <c r="E36" i="15"/>
  <c r="D7" i="32"/>
  <c r="E14" i="9"/>
  <c r="D33" i="9"/>
  <c r="E33" i="9" s="1"/>
  <c r="E15" i="45"/>
  <c r="E34" i="45" s="1"/>
  <c r="D34" i="45"/>
  <c r="D46" i="40"/>
  <c r="E46" i="40" s="1"/>
  <c r="D33" i="29"/>
  <c r="E33" i="29" s="1"/>
  <c r="C41" i="33"/>
  <c r="T35" i="42" s="1"/>
  <c r="D7" i="33"/>
  <c r="E17" i="8"/>
  <c r="D36" i="8"/>
  <c r="E36" i="8" s="1"/>
  <c r="E15" i="44"/>
  <c r="D31" i="44"/>
  <c r="E31" i="44" s="1"/>
  <c r="K42" i="42"/>
  <c r="K56" i="42" s="1"/>
  <c r="K57" i="42" s="1"/>
  <c r="O42" i="42"/>
  <c r="O56" i="42" s="1"/>
  <c r="O57" i="42" s="1"/>
  <c r="R42" i="42"/>
  <c r="R56" i="42" s="1"/>
  <c r="R57" i="42" s="1"/>
  <c r="E42" i="42"/>
  <c r="G42" i="42"/>
  <c r="F42" i="42"/>
  <c r="I42" i="42"/>
  <c r="I56" i="42" s="1"/>
  <c r="I57" i="42" s="1"/>
  <c r="Q42" i="42"/>
  <c r="Q56" i="42" s="1"/>
  <c r="Q57" i="42" s="1"/>
  <c r="C42" i="42"/>
  <c r="J42" i="42"/>
  <c r="J56" i="42" s="1"/>
  <c r="J57" i="42" s="1"/>
  <c r="P42" i="42"/>
  <c r="P56" i="42" s="1"/>
  <c r="P57" i="42" s="1"/>
  <c r="D42" i="42"/>
  <c r="B42" i="42"/>
  <c r="B56" i="42" s="1"/>
  <c r="B57" i="42" s="1"/>
  <c r="S56" i="42"/>
  <c r="U56" i="42" s="1"/>
  <c r="L42" i="42"/>
  <c r="L56" i="42" s="1"/>
  <c r="L57" i="42" s="1"/>
  <c r="M42" i="42"/>
  <c r="M56" i="42" s="1"/>
  <c r="M57" i="42" s="1"/>
  <c r="N42" i="42"/>
  <c r="N56" i="42" s="1"/>
  <c r="N57" i="42" s="1"/>
  <c r="H42" i="42"/>
  <c r="H56" i="42" s="1"/>
  <c r="H57" i="42" s="1"/>
  <c r="D7" i="41"/>
  <c r="C30" i="41"/>
  <c r="E17" i="5"/>
  <c r="D48" i="5"/>
  <c r="E48" i="5" s="1"/>
  <c r="D35" i="42"/>
  <c r="S9" i="42"/>
  <c r="J37" i="42"/>
  <c r="D32" i="26"/>
  <c r="K30" i="26" l="1"/>
  <c r="J34" i="26"/>
  <c r="F56" i="42"/>
  <c r="F57" i="42" s="1"/>
  <c r="G56" i="42"/>
  <c r="G57" i="42" s="1"/>
  <c r="E56" i="42"/>
  <c r="E57" i="42" s="1"/>
  <c r="C56" i="42"/>
  <c r="C57" i="42" s="1"/>
  <c r="D56" i="42"/>
  <c r="E7" i="33"/>
  <c r="D41" i="33"/>
  <c r="E41" i="33" s="1"/>
  <c r="E32" i="26"/>
  <c r="E34" i="26" s="1"/>
  <c r="E7" i="32"/>
  <c r="D23" i="32"/>
  <c r="E7" i="41"/>
  <c r="D30" i="41"/>
  <c r="E30" i="41" s="1"/>
  <c r="U35" i="42"/>
  <c r="S37" i="42"/>
  <c r="D37" i="42"/>
  <c r="D57" i="42"/>
  <c r="S57" i="42" s="1"/>
  <c r="D34" i="26"/>
  <c r="K34" i="26" l="1"/>
  <c r="L30" i="26"/>
  <c r="L34" i="26" s="1"/>
  <c r="F32" i="26"/>
  <c r="G32" i="26" s="1"/>
  <c r="G34" i="26" s="1"/>
  <c r="S58" i="42"/>
  <c r="E23" i="32"/>
  <c r="D54" i="32"/>
  <c r="E54" i="32" s="1"/>
  <c r="F34" i="2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</author>
  </authors>
  <commentList>
    <comment ref="C16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Board may change without House.
</t>
        </r>
      </text>
    </comment>
    <comment ref="C22" authorId="0" shapeId="0" xr:uid="{00000000-0006-0000-0000-000002000000}">
      <text>
        <r>
          <rPr>
            <sz val="9"/>
            <color indexed="81"/>
            <rFont val="Tahoma"/>
            <family val="2"/>
          </rPr>
          <t xml:space="preserve">Board may change without House.
</t>
        </r>
      </text>
    </comment>
    <comment ref="D28" authorId="0" shapeId="0" xr:uid="{00000000-0006-0000-0000-000003000000}">
      <text>
        <r>
          <rPr>
            <sz val="9"/>
            <color indexed="81"/>
            <rFont val="Tahoma"/>
            <family val="2"/>
          </rPr>
          <t xml:space="preserve">See below for specifics
</t>
        </r>
      </text>
    </comment>
    <comment ref="E28" authorId="0" shapeId="0" xr:uid="{00000000-0006-0000-0000-000004000000}">
      <text>
        <r>
          <rPr>
            <sz val="9"/>
            <color indexed="81"/>
            <rFont val="Tahoma"/>
            <family val="2"/>
          </rPr>
          <t xml:space="preserve">See below for specifics
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Nic Atkinson</author>
  </authors>
  <commentList>
    <comment ref="C20" authorId="0" shapeId="0" xr:uid="{00000000-0006-0000-1A00-000001000000}">
      <text>
        <r>
          <rPr>
            <b/>
            <sz val="9"/>
            <color indexed="81"/>
            <rFont val="Tahoma"/>
            <charset val="1"/>
          </rPr>
          <t>Nic Atkinson:</t>
        </r>
        <r>
          <rPr>
            <sz val="9"/>
            <color indexed="81"/>
            <rFont val="Tahoma"/>
            <charset val="1"/>
          </rPr>
          <t xml:space="preserve">
Match has been stopped and replaced with and increase in short term disability and increase in life insurance.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Eric Larson</author>
  </authors>
  <commentList>
    <comment ref="C33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Eric Larson:</t>
        </r>
        <r>
          <rPr>
            <sz val="9"/>
            <color indexed="81"/>
            <rFont val="Tahoma"/>
            <family val="2"/>
          </rPr>
          <t xml:space="preserve">
- $500 vendor gift card raffle
- $500 in promo items for attendees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Nic Atkinson</author>
  </authors>
  <commentList>
    <comment ref="C14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Nic Atkinson:</t>
        </r>
        <r>
          <rPr>
            <sz val="9"/>
            <color indexed="81"/>
            <rFont val="Tahoma"/>
            <family val="2"/>
          </rPr>
          <t xml:space="preserve">
Meeting will be virtual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Nic Atkinson</author>
  </authors>
  <commentList>
    <comment ref="C12" authorId="0" shapeId="0" xr:uid="{00000000-0006-0000-0800-000001000000}">
      <text>
        <r>
          <rPr>
            <b/>
            <sz val="9"/>
            <color indexed="81"/>
            <rFont val="Tahoma"/>
          </rPr>
          <t>Nic Atkinson:</t>
        </r>
        <r>
          <rPr>
            <sz val="9"/>
            <color indexed="81"/>
            <rFont val="Tahoma"/>
          </rPr>
          <t xml:space="preserve">
Increase in student attendees. ADPAC initiative. 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Greg</author>
  </authors>
  <commentList>
    <comment ref="A46" authorId="0" shapeId="0" xr:uid="{00000000-0006-0000-0C00-000001000000}">
      <text>
        <r>
          <rPr>
            <b/>
            <sz val="8"/>
            <color indexed="81"/>
            <rFont val="Tahoma"/>
            <family val="2"/>
          </rPr>
          <t xml:space="preserve">Eric:
</t>
        </r>
        <r>
          <rPr>
            <sz val="8"/>
            <color indexed="81"/>
            <rFont val="Tahoma"/>
            <family val="2"/>
          </rPr>
          <t xml:space="preserve">All cc processing fees for ISDS ($36,000) and Component dues ($13,000)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Eric Larson</author>
  </authors>
  <commentList>
    <comment ref="B10" authorId="0" shapeId="0" xr:uid="{00000000-0006-0000-1100-000001000000}">
      <text>
        <r>
          <rPr>
            <b/>
            <sz val="9"/>
            <color indexed="81"/>
            <rFont val="Tahoma"/>
            <family val="2"/>
          </rPr>
          <t>Nic Atkinson:
Meetings can be conducted virtually</t>
        </r>
      </text>
    </comment>
    <comment ref="C10" authorId="0" shapeId="0" xr:uid="{00000000-0006-0000-1100-000002000000}">
      <text>
        <r>
          <rPr>
            <b/>
            <sz val="9"/>
            <color indexed="81"/>
            <rFont val="Tahoma"/>
            <family val="2"/>
          </rPr>
          <t>Nic Atkinson:
Meetings can be conducted virtually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Nic Atkinson</author>
  </authors>
  <commentList>
    <comment ref="C9" authorId="0" shapeId="0" xr:uid="{1F565BF7-612A-4804-BA7D-27D65D42243B}">
      <text>
        <r>
          <rPr>
            <b/>
            <sz val="9"/>
            <color indexed="81"/>
            <rFont val="Tahoma"/>
            <charset val="1"/>
          </rPr>
          <t>Nic Atkinson:</t>
        </r>
        <r>
          <rPr>
            <sz val="9"/>
            <color indexed="81"/>
            <rFont val="Tahoma"/>
            <charset val="1"/>
          </rPr>
          <t xml:space="preserve">
Meeting's to be done virtually.
</t>
        </r>
      </text>
    </comment>
    <comment ref="C26" authorId="0" shapeId="0" xr:uid="{4B3D7149-2F8D-4A8E-89E1-9C87A49BAC51}">
      <text>
        <r>
          <rPr>
            <b/>
            <sz val="9"/>
            <color indexed="81"/>
            <rFont val="Tahoma"/>
            <charset val="1"/>
          </rPr>
          <t>Nic Atkinson:</t>
        </r>
        <r>
          <rPr>
            <sz val="9"/>
            <color indexed="81"/>
            <rFont val="Tahoma"/>
            <charset val="1"/>
          </rPr>
          <t xml:space="preserve">
Moved to ISDS Annual Session tab.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Nic Atkinson</author>
  </authors>
  <commentList>
    <comment ref="C13" authorId="0" shapeId="0" xr:uid="{00000000-0006-0000-1300-000001000000}">
      <text>
        <r>
          <rPr>
            <b/>
            <sz val="9"/>
            <color indexed="81"/>
            <rFont val="Tahoma"/>
            <charset val="1"/>
          </rPr>
          <t>Nic Atkinson:</t>
        </r>
        <r>
          <rPr>
            <sz val="9"/>
            <color indexed="81"/>
            <rFont val="Tahoma"/>
            <charset val="1"/>
          </rPr>
          <t xml:space="preserve">
Move postage meter to membership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Nic Atkinson</author>
  </authors>
  <commentList>
    <comment ref="A20" authorId="0" shapeId="0" xr:uid="{00000000-0006-0000-1500-000001000000}">
      <text>
        <r>
          <rPr>
            <b/>
            <sz val="9"/>
            <color indexed="81"/>
            <rFont val="Tahoma"/>
            <family val="2"/>
          </rPr>
          <t>Nic Atkinson:</t>
        </r>
        <r>
          <rPr>
            <sz val="9"/>
            <color indexed="81"/>
            <rFont val="Tahoma"/>
            <family val="2"/>
          </rPr>
          <t xml:space="preserve">
Board retreat happens once every 3 years</t>
        </r>
      </text>
    </comment>
  </commentList>
</comments>
</file>

<file path=xl/sharedStrings.xml><?xml version="1.0" encoding="utf-8"?>
<sst xmlns="http://schemas.openxmlformats.org/spreadsheetml/2006/main" count="1057" uniqueCount="532">
  <si>
    <t xml:space="preserve"> </t>
  </si>
  <si>
    <t>DEPARTMENT:  Access to Care</t>
  </si>
  <si>
    <t>DEPARTMENT:  Dental Benefits</t>
  </si>
  <si>
    <t>DIVISION:             Public Service</t>
  </si>
  <si>
    <t>DEPARTMENT:  Peer Review</t>
  </si>
  <si>
    <t>DEPARTMENT:  House of Delegates</t>
  </si>
  <si>
    <t>DIVISION:            General &amp; Admin</t>
  </si>
  <si>
    <t>DEPARTMENT:  Board of Trustees</t>
  </si>
  <si>
    <t>DIVISION:             General &amp; Admin</t>
  </si>
  <si>
    <t>DEPARTMENT:   Headquarters</t>
  </si>
  <si>
    <t>701 Meetings</t>
  </si>
  <si>
    <t>702 Per Diem</t>
  </si>
  <si>
    <t>703 Legal</t>
  </si>
  <si>
    <t>705 Staff Travel</t>
  </si>
  <si>
    <t>714 Postage</t>
  </si>
  <si>
    <t>717 Supplies</t>
  </si>
  <si>
    <t>716 Printing</t>
  </si>
  <si>
    <t>723 Contingency</t>
  </si>
  <si>
    <t>MEMBERSHIP DUES</t>
  </si>
  <si>
    <t>TOTAL INCOME</t>
  </si>
  <si>
    <t>TOTAL EXPENSE</t>
  </si>
  <si>
    <t>704 Contractual Services</t>
  </si>
  <si>
    <t>Department Total</t>
  </si>
  <si>
    <t>718 Audit/Accounting</t>
  </si>
  <si>
    <t>704 Contractual Service</t>
  </si>
  <si>
    <t xml:space="preserve">DEPARTMENT:  Annual Session </t>
  </si>
  <si>
    <t>Activity Description</t>
  </si>
  <si>
    <t>DEPARTMENT:  Government Affairs</t>
  </si>
  <si>
    <t>711 Dues, Donations, Honorarium</t>
  </si>
  <si>
    <t xml:space="preserve">Department Total </t>
  </si>
  <si>
    <t>703 Legal Fees</t>
  </si>
  <si>
    <t xml:space="preserve">714 Postage </t>
  </si>
  <si>
    <t>DEPARTMENT:  Allied Dental Personnel</t>
  </si>
  <si>
    <t xml:space="preserve">     Expenses (3 days x $75)</t>
  </si>
  <si>
    <t>717 Office Equipment/Maint./Supplies</t>
  </si>
  <si>
    <t>DEPARTMENT:   CDS Midwinter</t>
  </si>
  <si>
    <t>711 Dues/Contributions/Honoraria</t>
  </si>
  <si>
    <t>711 Dues/Donations/Honoraria</t>
  </si>
  <si>
    <t>DEPARTMENT:  Membership</t>
  </si>
  <si>
    <t>DEPARTMENT:  Communications</t>
  </si>
  <si>
    <t>716 Printing &amp; Production</t>
  </si>
  <si>
    <t>Direct Costs</t>
  </si>
  <si>
    <t>DEPARTMENT:  Capital Conference</t>
  </si>
  <si>
    <t>Budget</t>
  </si>
  <si>
    <t>Variance</t>
  </si>
  <si>
    <t>(dollars)</t>
  </si>
  <si>
    <t>(%)</t>
  </si>
  <si>
    <t>Dollars</t>
  </si>
  <si>
    <t>DEPARTMENT:   Indirect Clearing</t>
  </si>
  <si>
    <t>708 Payroll Taxes</t>
  </si>
  <si>
    <t xml:space="preserve">  Admin Fee</t>
  </si>
  <si>
    <t>712  Medical/Dental Insurance</t>
  </si>
  <si>
    <t>713 Bldg., Liability, Travel Ins.</t>
  </si>
  <si>
    <t xml:space="preserve">  Umbrella excess liab.</t>
  </si>
  <si>
    <t xml:space="preserve">  Workers Compensation</t>
  </si>
  <si>
    <t xml:space="preserve">  Travel Accident Ins</t>
  </si>
  <si>
    <t>726 Depreciation</t>
  </si>
  <si>
    <t xml:space="preserve">  Building</t>
  </si>
  <si>
    <t xml:space="preserve">  Furniture &amp; Fixtures</t>
  </si>
  <si>
    <t xml:space="preserve">  Computers &amp; Equipment</t>
  </si>
  <si>
    <t xml:space="preserve">  Automobile</t>
  </si>
  <si>
    <t>720 Building Operations</t>
  </si>
  <si>
    <t xml:space="preserve">  </t>
  </si>
  <si>
    <r>
      <t xml:space="preserve"> </t>
    </r>
    <r>
      <rPr>
        <b/>
        <sz val="11"/>
        <rFont val="Arial"/>
        <family val="2"/>
      </rPr>
      <t>Activity Description</t>
    </r>
  </si>
  <si>
    <t>Page Total (continued)</t>
  </si>
  <si>
    <t>DIVISION:             Member Programs</t>
  </si>
  <si>
    <t>701 Meetings (continued)</t>
  </si>
  <si>
    <t>(Carried Forward)</t>
  </si>
  <si>
    <t xml:space="preserve">        Pres. expenses</t>
  </si>
  <si>
    <t>03  Miscellaneous</t>
  </si>
  <si>
    <t>02  Miscellaneous</t>
  </si>
  <si>
    <t xml:space="preserve">05  Bus for Capitol Trip </t>
  </si>
  <si>
    <t>01  General</t>
  </si>
  <si>
    <t>01  Lobbying services</t>
  </si>
  <si>
    <t>03  AAOMS Advocacy Conference</t>
  </si>
  <si>
    <t>05  Legislative Events/Component &amp; Branch Mtgs</t>
  </si>
  <si>
    <t xml:space="preserve">      Capital Fax subscription</t>
  </si>
  <si>
    <t xml:space="preserve">      Lobbyist Registration Fees</t>
  </si>
  <si>
    <t>01  Plaques</t>
  </si>
  <si>
    <r>
      <t xml:space="preserve">01  </t>
    </r>
    <r>
      <rPr>
        <b/>
        <sz val="10"/>
        <rFont val="Arial"/>
        <family val="2"/>
      </rPr>
      <t>ADA Meeting onsite</t>
    </r>
  </si>
  <si>
    <r>
      <t xml:space="preserve">02  </t>
    </r>
    <r>
      <rPr>
        <b/>
        <sz val="10"/>
        <rFont val="Arial"/>
        <family val="2"/>
      </rPr>
      <t>Caucus meetings</t>
    </r>
  </si>
  <si>
    <t>01  Meeting costs: Food/bev, hospitality, rm. rental</t>
  </si>
  <si>
    <t>02  A.V. Equipment</t>
  </si>
  <si>
    <t>01  Conference speakers</t>
  </si>
  <si>
    <t>01  ADA Lobbyist Conference</t>
  </si>
  <si>
    <t>02  ADA Washington Conference</t>
  </si>
  <si>
    <t>04  State Board of Dentistry Meetings</t>
  </si>
  <si>
    <t>02  Meetings: 2 x 1 Trustee x $135</t>
  </si>
  <si>
    <t>01  Contract Review</t>
  </si>
  <si>
    <t xml:space="preserve">01  General </t>
  </si>
  <si>
    <t>01  Sullivan Membership Action Award</t>
  </si>
  <si>
    <t xml:space="preserve">01  Recruitment &amp; Retention (all members)  </t>
  </si>
  <si>
    <t xml:space="preserve">02  Dues Billings &amp; Membership Renewal  </t>
  </si>
  <si>
    <t>03  Misc. Postage</t>
  </si>
  <si>
    <t>01  Credit card processing fees</t>
  </si>
  <si>
    <t>02  Meetings: 2 x 1 trustee x $135</t>
  </si>
  <si>
    <t>01  UIC &amp; SIU Foundation</t>
  </si>
  <si>
    <t>01  Meetings: 2 x 7 members x $100</t>
  </si>
  <si>
    <t>01  Component Travel - 3 trips</t>
  </si>
  <si>
    <t>02  Meeting: 1 x 1 trustee x $135</t>
  </si>
  <si>
    <t>01  IDN</t>
  </si>
  <si>
    <t xml:space="preserve">02  IDN Mailing House </t>
  </si>
  <si>
    <t>01  House meetings (2)</t>
  </si>
  <si>
    <t xml:space="preserve">         Court reporter</t>
  </si>
  <si>
    <t xml:space="preserve">         Set-up &amp; hotel expenses</t>
  </si>
  <si>
    <t>01  Delegates</t>
  </si>
  <si>
    <t>02  Speaker &amp; Vice speaker</t>
  </si>
  <si>
    <t xml:space="preserve">     RDH Alternate: 1 x $100 x 3 mtgs</t>
  </si>
  <si>
    <t>05  Component trips:   10 x $75 ea</t>
  </si>
  <si>
    <t>01 Annual Audit</t>
  </si>
  <si>
    <t>02  Tax Return Preparation</t>
  </si>
  <si>
    <t>03  Accounting Fees</t>
  </si>
  <si>
    <t xml:space="preserve">         Flowers &amp; incidentals</t>
  </si>
  <si>
    <t>01  ADA Management Conf.</t>
  </si>
  <si>
    <t xml:space="preserve">      Travel &amp; parking</t>
  </si>
  <si>
    <t xml:space="preserve">      Expenses:  3 days x $50</t>
  </si>
  <si>
    <t>04  Misc. (Chicago/Component) trips</t>
  </si>
  <si>
    <t>01  General postage</t>
  </si>
  <si>
    <t>01  Subscriptions</t>
  </si>
  <si>
    <t>02  Postage Meter &amp; mailing machine</t>
  </si>
  <si>
    <t>Proposed</t>
  </si>
  <si>
    <t>01  Recruitment/Retention</t>
  </si>
  <si>
    <t>02  Membership Renewal</t>
  </si>
  <si>
    <t>02 General</t>
  </si>
  <si>
    <t xml:space="preserve">       Expenses:  2 days x $50</t>
  </si>
  <si>
    <t>01  Medical Insurance</t>
  </si>
  <si>
    <t>03  Dental Ins.</t>
  </si>
  <si>
    <t>01  Utilities</t>
  </si>
  <si>
    <t>02  Real Estate Taxes</t>
  </si>
  <si>
    <t>04  Garbage Pickup</t>
  </si>
  <si>
    <t>05  Elevator maint. Agreement</t>
  </si>
  <si>
    <t>06  HVAC maintenance</t>
  </si>
  <si>
    <t>07  Office Cleaning</t>
  </si>
  <si>
    <t>08  Lawn Service/Snow Removal</t>
  </si>
  <si>
    <t>09  Misc. Bldg. Needs</t>
  </si>
  <si>
    <t>03  Am Soc Constituent Dental Excs meeting</t>
  </si>
  <si>
    <t>DIVISION:           Member Programs</t>
  </si>
  <si>
    <t>02  Trustee 1 mbr x $135 x 3 meetings</t>
  </si>
  <si>
    <t xml:space="preserve">  D&amp;O; EPLI</t>
  </si>
  <si>
    <t>~ Active Life @</t>
  </si>
  <si>
    <t xml:space="preserve">~ Retired @ </t>
  </si>
  <si>
    <t>~ Retired Life @</t>
  </si>
  <si>
    <t xml:space="preserve">~ Hygienist Mbr @ </t>
  </si>
  <si>
    <t xml:space="preserve">~ Grad Student @ </t>
  </si>
  <si>
    <t xml:space="preserve">  Cellular phone</t>
  </si>
  <si>
    <t xml:space="preserve">  SS/Medicare </t>
  </si>
  <si>
    <t>02  (PO Box, UPS, Related)</t>
  </si>
  <si>
    <t>01  Hotel:</t>
  </si>
  <si>
    <t xml:space="preserve">      Pres. Suite &amp; Officer Rooms</t>
  </si>
  <si>
    <t>03  Travel (incl. cab fare)</t>
  </si>
  <si>
    <t>01  Hotel</t>
  </si>
  <si>
    <t>02  Parking</t>
  </si>
  <si>
    <t>04  Expenses</t>
  </si>
  <si>
    <t xml:space="preserve">         10 Tickets (CDS dinner dance) </t>
  </si>
  <si>
    <t xml:space="preserve">        AV (Power Strips)</t>
  </si>
  <si>
    <t>01  IDN Writer</t>
  </si>
  <si>
    <t xml:space="preserve">        Travel</t>
  </si>
  <si>
    <t xml:space="preserve">        Expenses</t>
  </si>
  <si>
    <t xml:space="preserve">       Hotel </t>
  </si>
  <si>
    <t xml:space="preserve">       Travel</t>
  </si>
  <si>
    <t xml:space="preserve">       Expenses </t>
  </si>
  <si>
    <t xml:space="preserve">       Tickets </t>
  </si>
  <si>
    <t>02  Meeting: Trustee</t>
  </si>
  <si>
    <t>01  Meeting:  Committee members</t>
  </si>
  <si>
    <t xml:space="preserve">        Hospitality Suite &amp; 8th District Event</t>
  </si>
  <si>
    <t>~ 100% Waiver @</t>
  </si>
  <si>
    <t>02  Washington DC Dinners</t>
  </si>
  <si>
    <t xml:space="preserve">     Hotel: 1 staff x 2 nights x $240</t>
  </si>
  <si>
    <t xml:space="preserve">  Futa (.6% of first $7000 per employee)</t>
  </si>
  <si>
    <t>06  President's component travel</t>
  </si>
  <si>
    <t xml:space="preserve">       BOT rooms: +SP, VSp, Incoming BOT</t>
  </si>
  <si>
    <t xml:space="preserve">         3 day x 4 new BOT x $135</t>
  </si>
  <si>
    <t xml:space="preserve">01  Executive Director </t>
  </si>
  <si>
    <t xml:space="preserve">      2nd caucus - September </t>
  </si>
  <si>
    <t>02  Caucus / ref. comms</t>
  </si>
  <si>
    <t xml:space="preserve">         A/V, E-voting &amp; wireless access</t>
  </si>
  <si>
    <t xml:space="preserve">  Car Insurance</t>
  </si>
  <si>
    <t>02  Natl Oral Health Conf</t>
  </si>
  <si>
    <t>01  Meetings(2) x 8 members</t>
  </si>
  <si>
    <t>02     Opening Breakfast</t>
  </si>
  <si>
    <t>03     Reception/ Dinner Dance</t>
  </si>
  <si>
    <t xml:space="preserve">        Lease &amp; Maintenance</t>
  </si>
  <si>
    <t xml:space="preserve">02 Dental Quality Alliance </t>
  </si>
  <si>
    <t>~ 50% Hardshp Waiver</t>
  </si>
  <si>
    <t>08  Car maintenance</t>
  </si>
  <si>
    <t xml:space="preserve">        Travel: ADA Council Mbrs</t>
  </si>
  <si>
    <t/>
  </si>
  <si>
    <r>
      <t xml:space="preserve">01  BOT meetings: </t>
    </r>
    <r>
      <rPr>
        <sz val="8"/>
        <rFont val="Arial"/>
        <family val="2"/>
      </rPr>
      <t>( 3 -Spfld 2 at Annual Meeting)</t>
    </r>
  </si>
  <si>
    <t xml:space="preserve">       Meeting rooms at Annual Session</t>
  </si>
  <si>
    <t>09  Offsite Storage</t>
  </si>
  <si>
    <t>Annual Session</t>
  </si>
  <si>
    <t>NON DUES INCOME</t>
  </si>
  <si>
    <t xml:space="preserve">03  Expenses:  </t>
  </si>
  <si>
    <t>NET INCOME (LOSS)</t>
  </si>
  <si>
    <t>DEPARTMENT: ADA Annual Session</t>
  </si>
  <si>
    <t>DEPARTMENT: Dental Education</t>
  </si>
  <si>
    <r>
      <rPr>
        <sz val="10"/>
        <rFont val="Arial"/>
        <family val="2"/>
      </rPr>
      <t>03</t>
    </r>
    <r>
      <rPr>
        <b/>
        <sz val="10"/>
        <rFont val="Arial"/>
        <family val="2"/>
      </rPr>
      <t xml:space="preserve">  Miscellaneous</t>
    </r>
  </si>
  <si>
    <r>
      <rPr>
        <sz val="10"/>
        <rFont val="Arial"/>
        <family val="2"/>
      </rPr>
      <t>01</t>
    </r>
    <r>
      <rPr>
        <b/>
        <sz val="10"/>
        <rFont val="Arial"/>
        <family val="2"/>
      </rPr>
      <t xml:space="preserve">  2nd caucus - Sept.</t>
    </r>
  </si>
  <si>
    <r>
      <t>714 Postage</t>
    </r>
    <r>
      <rPr>
        <b/>
        <sz val="10"/>
        <rFont val="Arial"/>
        <family val="2"/>
      </rPr>
      <t xml:space="preserve">        </t>
    </r>
    <r>
      <rPr>
        <sz val="10"/>
        <rFont val="Arial"/>
        <family val="2"/>
      </rPr>
      <t>01</t>
    </r>
    <r>
      <rPr>
        <b/>
        <sz val="10"/>
        <rFont val="Arial"/>
        <family val="2"/>
      </rPr>
      <t xml:space="preserve">  </t>
    </r>
    <r>
      <rPr>
        <sz val="10"/>
        <rFont val="Arial"/>
        <family val="2"/>
      </rPr>
      <t>General</t>
    </r>
  </si>
  <si>
    <r>
      <t>716 Printing</t>
    </r>
    <r>
      <rPr>
        <sz val="10"/>
        <rFont val="Arial"/>
        <family val="2"/>
      </rPr>
      <t xml:space="preserve">        01  General</t>
    </r>
  </si>
  <si>
    <r>
      <t>717 Supplies</t>
    </r>
    <r>
      <rPr>
        <sz val="10"/>
        <rFont val="Arial"/>
        <family val="2"/>
      </rPr>
      <t xml:space="preserve">       01  General</t>
    </r>
  </si>
  <si>
    <t>DEPARTMENT: Government Affairs</t>
  </si>
  <si>
    <t>DEPARTMENT: New Dentists</t>
  </si>
  <si>
    <t>DEPARTMENT:  Member Services</t>
  </si>
  <si>
    <t>DIVISION:          Public Service</t>
  </si>
  <si>
    <t>DIVISION:         Member Programs</t>
  </si>
  <si>
    <t>DIVISION:          Member Programs</t>
  </si>
  <si>
    <t>DIVISION:           General &amp; Admin</t>
  </si>
  <si>
    <t>Subtotal Meetings</t>
  </si>
  <si>
    <t>DIVISION:              General &amp; Admin</t>
  </si>
  <si>
    <t>Indirect Cost</t>
  </si>
  <si>
    <t>DIVISION:          Communications</t>
  </si>
  <si>
    <t>02  Signage</t>
  </si>
  <si>
    <t>03  ADA Council Members (3mbrs x 2 mtg x $250)</t>
  </si>
  <si>
    <t>02  General mailing</t>
  </si>
  <si>
    <t xml:space="preserve">01  School and Component Visits </t>
  </si>
  <si>
    <t>06  ADA Pres-Elects Conf:  1pr el x 2 days x $135</t>
  </si>
  <si>
    <t>02 Condolences on Behalf of BOT</t>
  </si>
  <si>
    <t>04 Dental Lifeline of Illinois</t>
  </si>
  <si>
    <r>
      <t>714 Postage</t>
    </r>
    <r>
      <rPr>
        <sz val="10"/>
        <rFont val="Arial"/>
        <family val="2"/>
      </rPr>
      <t xml:space="preserve">   01 General</t>
    </r>
  </si>
  <si>
    <r>
      <t>716 Printing</t>
    </r>
    <r>
      <rPr>
        <sz val="10"/>
        <rFont val="Arial"/>
        <family val="2"/>
      </rPr>
      <t xml:space="preserve">   01 General</t>
    </r>
  </si>
  <si>
    <t>01 Photocopies</t>
  </si>
  <si>
    <t>02 President's portrait</t>
  </si>
  <si>
    <t>03 Miscellaneous (subscriptions, plaques, etc.)</t>
  </si>
  <si>
    <t>01 General</t>
  </si>
  <si>
    <t>02  Hospitality</t>
  </si>
  <si>
    <t>01 5 Off. X 4 days x $135</t>
  </si>
  <si>
    <r>
      <t>703 Legal Fees</t>
    </r>
    <r>
      <rPr>
        <sz val="10"/>
        <rFont val="Arial"/>
        <family val="2"/>
      </rPr>
      <t xml:space="preserve">   01 General</t>
    </r>
  </si>
  <si>
    <t>02 Am Soc of Assn Exec</t>
  </si>
  <si>
    <t>04 Sam's Club</t>
  </si>
  <si>
    <t>01 Office Letterhead; stationery, etc.</t>
  </si>
  <si>
    <r>
      <t>723 Contingency</t>
    </r>
    <r>
      <rPr>
        <sz val="10"/>
        <rFont val="Arial"/>
        <family val="2"/>
      </rPr>
      <t xml:space="preserve">   01 General</t>
    </r>
  </si>
  <si>
    <t>01 Parking</t>
  </si>
  <si>
    <t>01  Postcards</t>
  </si>
  <si>
    <t xml:space="preserve">02  Save the date cards </t>
  </si>
  <si>
    <t xml:space="preserve">         Travel:  6 students</t>
  </si>
  <si>
    <t>DIVISION:           Communications</t>
  </si>
  <si>
    <t>04  Component trips:  7 x $135</t>
  </si>
  <si>
    <t xml:space="preserve">       Travel: </t>
  </si>
  <si>
    <t>01  Hotel site visits (2)</t>
  </si>
  <si>
    <t>03  Registration materials &amp; Other Supplies</t>
  </si>
  <si>
    <t>701 Meetings - Hilton Springfield</t>
  </si>
  <si>
    <t xml:space="preserve">02  ISDS Annual Session </t>
  </si>
  <si>
    <t>Ovhd %</t>
  </si>
  <si>
    <t xml:space="preserve">ADA Meeting  </t>
  </si>
  <si>
    <t>Dental Education</t>
  </si>
  <si>
    <t>Capitol Conf</t>
  </si>
  <si>
    <t>Govt. Affairs</t>
  </si>
  <si>
    <t>Member Services</t>
  </si>
  <si>
    <t xml:space="preserve">New Dentist </t>
  </si>
  <si>
    <t>Access</t>
  </si>
  <si>
    <t>Dental Benefits</t>
  </si>
  <si>
    <t>Communications</t>
  </si>
  <si>
    <t>House of Delegates</t>
  </si>
  <si>
    <t>Board of Trustees</t>
  </si>
  <si>
    <t>Mid Winter</t>
  </si>
  <si>
    <t>Headqtrs</t>
  </si>
  <si>
    <t>TOTAL</t>
  </si>
  <si>
    <t>Meetings</t>
  </si>
  <si>
    <t>Per Diem</t>
  </si>
  <si>
    <t>Legal</t>
  </si>
  <si>
    <t>Contract Services</t>
  </si>
  <si>
    <t>Staff Travel</t>
  </si>
  <si>
    <t>Dues/Donations</t>
  </si>
  <si>
    <t>Postage</t>
  </si>
  <si>
    <t>Printing</t>
  </si>
  <si>
    <t>Supplies</t>
  </si>
  <si>
    <t>Audit/Accounting</t>
  </si>
  <si>
    <t>Program Contingecy</t>
  </si>
  <si>
    <t>Subtotal Direct Costs</t>
  </si>
  <si>
    <t>Indirect Costs</t>
  </si>
  <si>
    <t>Salaries</t>
  </si>
  <si>
    <t>Payroll Taxes</t>
  </si>
  <si>
    <t>Medical Insurance</t>
  </si>
  <si>
    <t>Liability Insurance</t>
  </si>
  <si>
    <t>Telephone</t>
  </si>
  <si>
    <t>Depreciation</t>
  </si>
  <si>
    <t>Building Operations</t>
  </si>
  <si>
    <t>Subtotal Indirect Costs</t>
  </si>
  <si>
    <t>Grand Total</t>
  </si>
  <si>
    <t>04     Guest Luncheon</t>
  </si>
  <si>
    <t xml:space="preserve">suta </t>
  </si>
  <si>
    <t>futa</t>
  </si>
  <si>
    <t>pr tax</t>
  </si>
  <si>
    <t>01  General Supplies</t>
  </si>
  <si>
    <t>10  Special Committees - unidentified</t>
  </si>
  <si>
    <t>11  Miscellaneous meeting expenses</t>
  </si>
  <si>
    <t xml:space="preserve">     Student Alternates 3 x $100 x 3 mtgs</t>
  </si>
  <si>
    <t>01  Mailings</t>
  </si>
  <si>
    <t>01 Ballots / Ref Comm Reports &amp; Misc</t>
  </si>
  <si>
    <t xml:space="preserve">       Registration fee:  5 x $400</t>
  </si>
  <si>
    <t xml:space="preserve">10 Miscellaneous Mtgs: </t>
  </si>
  <si>
    <t>09  Special Committees</t>
  </si>
  <si>
    <t>09  Midstates Dental Leaders Conf.</t>
  </si>
  <si>
    <t xml:space="preserve">      Registration fee:  $400</t>
  </si>
  <si>
    <r>
      <rPr>
        <sz val="10"/>
        <rFont val="Arial"/>
        <family val="2"/>
      </rPr>
      <t>02</t>
    </r>
    <r>
      <rPr>
        <b/>
        <sz val="10"/>
        <rFont val="Arial"/>
        <family val="2"/>
      </rPr>
      <t xml:space="preserve">  On-site</t>
    </r>
  </si>
  <si>
    <t>06 Humanitarian Award</t>
  </si>
  <si>
    <t>01  CE Course Catalog &amp; Postcards</t>
  </si>
  <si>
    <t xml:space="preserve">03 Aux. Cert. Course Instructors' Honoraria </t>
  </si>
  <si>
    <t xml:space="preserve">01  Course Supplies </t>
  </si>
  <si>
    <t>01 Miscellaneous</t>
  </si>
  <si>
    <t xml:space="preserve">      Travel/parking: </t>
  </si>
  <si>
    <t>05  Flex Plan/HRA Dental admin fee</t>
  </si>
  <si>
    <t>01  Chicago Training 2 attendees</t>
  </si>
  <si>
    <t>01 Printing</t>
  </si>
  <si>
    <t>~ 1st Yr Grads @</t>
  </si>
  <si>
    <t>~ Year of graduation @</t>
  </si>
  <si>
    <t xml:space="preserve">05     Non-revenue Events </t>
  </si>
  <si>
    <t>TRANSFER FROM RESERVES</t>
  </si>
  <si>
    <t xml:space="preserve">       Hotel: 4 ofcrs X 2 nites </t>
  </si>
  <si>
    <t xml:space="preserve">       Expenses: 4 off x 2 days</t>
  </si>
  <si>
    <t xml:space="preserve">08  Midst Conf: </t>
  </si>
  <si>
    <t>04 IDPH Oral Health Conference</t>
  </si>
  <si>
    <t>01  Committee mtgs: 1 x 7 mbrs x $135</t>
  </si>
  <si>
    <t>01  Committee Mtgs 3 x 14 attendees x $100</t>
  </si>
  <si>
    <r>
      <t xml:space="preserve">707 Salaries </t>
    </r>
    <r>
      <rPr>
        <sz val="10"/>
        <rFont val="Arial"/>
        <family val="2"/>
      </rPr>
      <t xml:space="preserve"> - </t>
    </r>
  </si>
  <si>
    <t>01  Signs, Badges, lanyards, etc</t>
  </si>
  <si>
    <t xml:space="preserve">      3rd caucus - Onsite</t>
  </si>
  <si>
    <t xml:space="preserve">      4th caucus - Onsite</t>
  </si>
  <si>
    <t>TOTAL DUES INCOME</t>
  </si>
  <si>
    <t xml:space="preserve">02  Contract Public/Legis </t>
  </si>
  <si>
    <t xml:space="preserve">     Facilitator and Facility Charges</t>
  </si>
  <si>
    <t>02  Website Maintenance (SupplyIL.Com &amp; Org)</t>
  </si>
  <si>
    <t>01 Officers' and Trustee stipends</t>
  </si>
  <si>
    <t xml:space="preserve">        Hotel in Chicago x $300 @ 5</t>
  </si>
  <si>
    <t xml:space="preserve">01  Committee mtgs(2) x 7 members </t>
  </si>
  <si>
    <t>01  CE Courses</t>
  </si>
  <si>
    <t>04  Aux. Certification Courses</t>
  </si>
  <si>
    <t xml:space="preserve">        Expenses:  5 mtgs </t>
  </si>
  <si>
    <t>~ Associate Mbr @</t>
  </si>
  <si>
    <t>401K Retirement Plan</t>
  </si>
  <si>
    <t>709 401K Retirement Plan</t>
  </si>
  <si>
    <t xml:space="preserve">  Employer Contribution</t>
  </si>
  <si>
    <t>02  BOT dinners/lunches</t>
  </si>
  <si>
    <t>1</t>
  </si>
  <si>
    <t>2</t>
  </si>
  <si>
    <t>7</t>
  </si>
  <si>
    <t>8</t>
  </si>
  <si>
    <t>A</t>
  </si>
  <si>
    <t>B</t>
  </si>
  <si>
    <t>C</t>
  </si>
  <si>
    <t>D</t>
  </si>
  <si>
    <t>I</t>
  </si>
  <si>
    <t>L</t>
  </si>
  <si>
    <t>W</t>
  </si>
  <si>
    <t>Y</t>
  </si>
  <si>
    <t>6/9</t>
  </si>
  <si>
    <t>3</t>
  </si>
  <si>
    <t>P &amp; T</t>
  </si>
  <si>
    <t xml:space="preserve">~ Active Members @ </t>
  </si>
  <si>
    <t xml:space="preserve">~ Incentive/Half Yr Mbr @ </t>
  </si>
  <si>
    <t>01  Committee Meeting (1+ 4-5 ZOOM)</t>
  </si>
  <si>
    <t>01  Vendor Meetings/Conferences</t>
  </si>
  <si>
    <t>01  Meeting: 1 x 10 attendees x $135</t>
  </si>
  <si>
    <t>01  Meeting: 1 x 9 attendees x $100</t>
  </si>
  <si>
    <t>07  ADA Presidents' Elect Conf. (July))</t>
  </si>
  <si>
    <t xml:space="preserve">03 IL Soc of Assn Exec </t>
  </si>
  <si>
    <t>06  General Building/Office Supplies</t>
  </si>
  <si>
    <t>04  Printer Fleet Maintenance</t>
  </si>
  <si>
    <t>02  Online CE Speakers' expenses</t>
  </si>
  <si>
    <t>~ 2nd Yr Grads @</t>
  </si>
  <si>
    <t>01  Meetings: 2 x 8 mbrs x $100</t>
  </si>
  <si>
    <t>02  Midsts Dent Leaders Conf</t>
  </si>
  <si>
    <t xml:space="preserve">      Hotel: 1 staff x 2 nites x $300</t>
  </si>
  <si>
    <t>05 Past President Stipend for ISDS A/S</t>
  </si>
  <si>
    <t>715 Telephone &amp; AV</t>
  </si>
  <si>
    <t>01  Committee meetings 1 x 9 mbrs x $135</t>
  </si>
  <si>
    <t>02  Life Ins; AD&amp;D; Disability</t>
  </si>
  <si>
    <t>01  Contingency</t>
  </si>
  <si>
    <t xml:space="preserve">      1st caucus - May</t>
  </si>
  <si>
    <t>03  Public Health Dentists Mtg (Room, Food, speaker)</t>
  </si>
  <si>
    <t>~ Allied Member @</t>
  </si>
  <si>
    <t>01 Panther Creek</t>
  </si>
  <si>
    <t xml:space="preserve">      Blue Room (Stream Session)</t>
  </si>
  <si>
    <t>01  Meetings: 2 x 9 members x $100</t>
  </si>
  <si>
    <t>723 Contigency</t>
  </si>
  <si>
    <t>07  CDS Officer Installment</t>
  </si>
  <si>
    <t xml:space="preserve">     Hotel</t>
  </si>
  <si>
    <t xml:space="preserve">     Mileage</t>
  </si>
  <si>
    <t>Difference</t>
  </si>
  <si>
    <t>04  Digital IDN Production</t>
  </si>
  <si>
    <t xml:space="preserve">  Cyber Insurance</t>
  </si>
  <si>
    <t xml:space="preserve">      Health News Illinois Sub</t>
  </si>
  <si>
    <t>01  Meetings: 2 x 10 attendees x $140</t>
  </si>
  <si>
    <r>
      <t xml:space="preserve">        106</t>
    </r>
    <r>
      <rPr>
        <sz val="10"/>
        <rFont val="Arial"/>
        <family val="2"/>
      </rPr>
      <t xml:space="preserve"> x $100 x 3 meetings</t>
    </r>
  </si>
  <si>
    <t xml:space="preserve">       Expenses:  4 staff x 7 days x $100</t>
  </si>
  <si>
    <t>01  Com meetings: Virtual Meetings</t>
  </si>
  <si>
    <t>02  Meetings:  2 x 1 x $135 trustee</t>
  </si>
  <si>
    <t xml:space="preserve">          x 3.5 nites/ Officers 4 nites x $167; </t>
  </si>
  <si>
    <t xml:space="preserve">  Phone + Zoom</t>
  </si>
  <si>
    <t xml:space="preserve">03 Alarm System </t>
  </si>
  <si>
    <t xml:space="preserve">      Video production</t>
  </si>
  <si>
    <t xml:space="preserve">      Facebook, Instagram</t>
  </si>
  <si>
    <t>~ 15 for 12</t>
  </si>
  <si>
    <t>01  Meetings: 2 x 7 attendees x $140</t>
  </si>
  <si>
    <t>DEI</t>
  </si>
  <si>
    <t>DEPARTMENT:  Diversity, Equity &amp; Inclusion</t>
  </si>
  <si>
    <t>Policy &amp; Structure</t>
  </si>
  <si>
    <t>DEPARTMENT:  Policy and Structure</t>
  </si>
  <si>
    <t>02  Meetings: 2 x 2 trustee x $135</t>
  </si>
  <si>
    <t>01  Meetings: 2 x 5 members x $100</t>
  </si>
  <si>
    <t>Annual Session 2024</t>
  </si>
  <si>
    <t>01  Speaker Contracts</t>
  </si>
  <si>
    <t xml:space="preserve">        Meals &amp; room rental:  51 mem. </t>
  </si>
  <si>
    <t xml:space="preserve">      Travel: 19 del/10 alt x $450 air &amp; ground trans</t>
  </si>
  <si>
    <t xml:space="preserve">        Travel: 19 del /10 alt</t>
  </si>
  <si>
    <t xml:space="preserve">01  19 Del/10 atl x 2nd Caucus x $250 </t>
  </si>
  <si>
    <r>
      <t xml:space="preserve">02  19 Del/10 Alt x </t>
    </r>
    <r>
      <rPr>
        <sz val="10"/>
        <rFont val="Arial"/>
        <family val="2"/>
      </rPr>
      <t xml:space="preserve">4 on-site sessions x $350 </t>
    </r>
  </si>
  <si>
    <t xml:space="preserve">        Delegate registration: 19 del/10 alt x $115</t>
  </si>
  <si>
    <t>05 Am Soc of Constituent Dental Execs</t>
  </si>
  <si>
    <t>04  Travel: 4 vehicles</t>
  </si>
  <si>
    <t>01  ISDS Annual Session: Peoria</t>
  </si>
  <si>
    <t>710 Marketing</t>
  </si>
  <si>
    <t>01  Marketing</t>
  </si>
  <si>
    <t>02  Stock Photos</t>
  </si>
  <si>
    <t>708 Software &amp; Technology</t>
  </si>
  <si>
    <t>01  ISDS App</t>
  </si>
  <si>
    <t xml:space="preserve">     Constant Contact/Survey Monkey</t>
  </si>
  <si>
    <t xml:space="preserve">     Adobe Creative Software</t>
  </si>
  <si>
    <t xml:space="preserve">     Website Hosting/Server Certification</t>
  </si>
  <si>
    <t xml:space="preserve">     Online Newsclipping Service</t>
  </si>
  <si>
    <t xml:space="preserve">     Social Media Scheduling Software</t>
  </si>
  <si>
    <t xml:space="preserve">     Editing Software</t>
  </si>
  <si>
    <t xml:space="preserve">     Cloud Storage</t>
  </si>
  <si>
    <t>Software &amp; Technology</t>
  </si>
  <si>
    <t>Marketing</t>
  </si>
  <si>
    <t>01  LMS Software</t>
  </si>
  <si>
    <t>719 Credit Card Processing Fees</t>
  </si>
  <si>
    <t>01  Credit Card Processing Fees</t>
  </si>
  <si>
    <t>Credit Card Processing</t>
  </si>
  <si>
    <t>01 Credit Card Processing Fees</t>
  </si>
  <si>
    <t>01  Promotional Items</t>
  </si>
  <si>
    <t xml:space="preserve">  401(k)  $250 x 12 staff</t>
  </si>
  <si>
    <t>1st Draft</t>
  </si>
  <si>
    <t>2025 Membership Estimate</t>
  </si>
  <si>
    <t>01 Microsoft Office 365 and Antivirus</t>
  </si>
  <si>
    <t>02 Other Software (Adobe, etc)</t>
  </si>
  <si>
    <t>03 Hardware (Monitors, keyboard, mice, etc)</t>
  </si>
  <si>
    <t>04 Misc. IT Support</t>
  </si>
  <si>
    <t>05 Internet</t>
  </si>
  <si>
    <t>01  Adobe Sign</t>
  </si>
  <si>
    <t>01 Promotional Items</t>
  </si>
  <si>
    <t>02 General (Recruitment and Retention)</t>
  </si>
  <si>
    <t>03  Membership Meetings in Chicago</t>
  </si>
  <si>
    <t>01 IDPH Oral Health Conference</t>
  </si>
  <si>
    <t>01  Trustees: 21 x 1 days x $135</t>
  </si>
  <si>
    <t>03  Travel (21 BOT x $180)</t>
  </si>
  <si>
    <t xml:space="preserve">        Travel: 2 x $500 airfare</t>
  </si>
  <si>
    <t xml:space="preserve">        Expenses: 2 x 4 days x $100</t>
  </si>
  <si>
    <t>01  Hannah News</t>
  </si>
  <si>
    <t>01  Com meetings: 1 in-person mtg &amp; 2 Zoom</t>
  </si>
  <si>
    <t>01  Meetings: 2 x 11 mbrs x $100</t>
  </si>
  <si>
    <t>06  Special Events - New Dentist Event(s)</t>
  </si>
  <si>
    <t>01  Committee mtgs: 3 mtgs (2 Zoom)</t>
  </si>
  <si>
    <t>01  Meetings: 2 x 10 members x $100</t>
  </si>
  <si>
    <t>01  Meetings: 2 x 9 attendees x $150</t>
  </si>
  <si>
    <t xml:space="preserve">       Travel:   26 BOT  </t>
  </si>
  <si>
    <t>03  Annual Session:  3 days x 23 BOT x $135</t>
  </si>
  <si>
    <t xml:space="preserve">03  Membership Events </t>
  </si>
  <si>
    <t>Membrship</t>
  </si>
  <si>
    <t xml:space="preserve">       March Meeting Officer travel &amp; hotel</t>
  </si>
  <si>
    <t xml:space="preserve">       Travel: 4 Officers</t>
  </si>
  <si>
    <t xml:space="preserve">      Expenses (6 x 2 days x $85)</t>
  </si>
  <si>
    <t xml:space="preserve">     Texting Platform</t>
  </si>
  <si>
    <t>06     Misc (PR, Setup, Other)</t>
  </si>
  <si>
    <t>03  Parlimentarian workshop</t>
  </si>
  <si>
    <t>02  Exec. Comm. Mtg @ $135</t>
  </si>
  <si>
    <t xml:space="preserve">        ADA Candidates Dinner</t>
  </si>
  <si>
    <t>04  Bank Fees</t>
  </si>
  <si>
    <t xml:space="preserve">      IDN mailed from office</t>
  </si>
  <si>
    <t>01  Meetings:  2 x $100 x 9 members</t>
  </si>
  <si>
    <t xml:space="preserve">  Commercial</t>
  </si>
  <si>
    <t xml:space="preserve">  Suta (1.05% of first $14,200 per employee)</t>
  </si>
  <si>
    <t xml:space="preserve">      Hotel: 5 Staff x 2 nights x $350</t>
  </si>
  <si>
    <t xml:space="preserve">      Registration Fees (5x$500 avg)</t>
  </si>
  <si>
    <t>03  Travel (5 members @ $180)</t>
  </si>
  <si>
    <t>01  Other</t>
  </si>
  <si>
    <t xml:space="preserve">       Hotel:  Pr-El x 2 nites x $265 + reg fee</t>
  </si>
  <si>
    <t>05  President's travel:  8 x $135</t>
  </si>
  <si>
    <t>01  Photocopying &amp; Miscellaneous</t>
  </si>
  <si>
    <t>01 Other</t>
  </si>
  <si>
    <t>01  Parking</t>
  </si>
  <si>
    <t>01  Programs</t>
  </si>
  <si>
    <t>01  Miscellaneous</t>
  </si>
  <si>
    <t>01  Program</t>
  </si>
  <si>
    <t>02  Tickets, Invitations, Dinner Program &amp; Misc</t>
  </si>
  <si>
    <t>2026 Budget Expense Summary</t>
  </si>
  <si>
    <t xml:space="preserve">2025-2026 ISDS INCOME  </t>
  </si>
  <si>
    <t>2025 Totals</t>
  </si>
  <si>
    <t>03  General Postage</t>
  </si>
  <si>
    <t>2026 Budget</t>
  </si>
  <si>
    <t xml:space="preserve">        Hotel: 2 x 4 nights x $325</t>
  </si>
  <si>
    <t xml:space="preserve">        Travel: 2 x $400 Airfare</t>
  </si>
  <si>
    <t xml:space="preserve">        Registration fee (2 x $450)</t>
  </si>
  <si>
    <t>01 Registration Software</t>
  </si>
  <si>
    <t>25 Washington DC - 26 Indianapolis</t>
  </si>
  <si>
    <r>
      <t xml:space="preserve">      Hotel:  Suite: $1200 x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>6 nights</t>
    </r>
  </si>
  <si>
    <t xml:space="preserve">       Travel: Airfare &amp; ground transp. </t>
  </si>
  <si>
    <t>2024 Membership - Final</t>
  </si>
  <si>
    <t>02 Registration Software</t>
  </si>
  <si>
    <t>01  Misc. Staff Travel</t>
  </si>
  <si>
    <t>2025 Budget totals</t>
  </si>
  <si>
    <t>04  Hotel: Speakers' Rooms (2 x $145)</t>
  </si>
  <si>
    <t xml:space="preserve">          BOT rooms  (21 x $145 x 2)</t>
  </si>
  <si>
    <t>01  IDN (6 issues)</t>
  </si>
  <si>
    <t>01  Meetings: 2 x 11 members x $100</t>
  </si>
  <si>
    <t>01  Committee Mtgs 3 x 15 attendees x $200</t>
  </si>
  <si>
    <t xml:space="preserve">        Hotel: 2 x 3 nights $450/night</t>
  </si>
  <si>
    <t xml:space="preserve">        Hotel: 1 x 3 nights x $400</t>
  </si>
  <si>
    <t xml:space="preserve">        Travel: 1 x $500 Airfare</t>
  </si>
  <si>
    <t xml:space="preserve">        Expenses: 1 x 3 days x $100</t>
  </si>
  <si>
    <t xml:space="preserve">        Registration fee (1x $50)</t>
  </si>
  <si>
    <t>12 Strategic Planning</t>
  </si>
  <si>
    <t>03 Strategic Planning</t>
  </si>
  <si>
    <t xml:space="preserve">       Hotel: 26 BOT x June 1-day &amp; December 2 day X $180</t>
  </si>
  <si>
    <t>04  Annual Session (Peoria)</t>
  </si>
  <si>
    <t xml:space="preserve">     Hotel ($195x30)</t>
  </si>
  <si>
    <r>
      <t xml:space="preserve">      Hotel: Officers rooms: 3 rms x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>$425 x 6 nights</t>
    </r>
  </si>
  <si>
    <t xml:space="preserve">        Meals:  51 mem. X $81</t>
  </si>
  <si>
    <t xml:space="preserve">        Meals, refreshments: 51 mem. X $135</t>
  </si>
  <si>
    <r>
      <t xml:space="preserve">       Hotel: 4 staff x $425</t>
    </r>
    <r>
      <rPr>
        <sz val="10"/>
        <rFont val="Arial"/>
      </rPr>
      <t xml:space="preserve"> x 6 nites</t>
    </r>
  </si>
  <si>
    <t>25 Peoria - 26 Quad Cities</t>
  </si>
  <si>
    <t xml:space="preserve">      Hotel: 41 nights at $75 +12%+11.99</t>
  </si>
  <si>
    <t xml:space="preserve">       Travel:  2 mtgs x 27 BOT x $180</t>
  </si>
  <si>
    <t>01  BOT Mtgs:3 mtgs x 24 BOT x $135</t>
  </si>
  <si>
    <t>03 Charitabile Contribution</t>
  </si>
  <si>
    <t>2025 4/10/25</t>
  </si>
  <si>
    <t>~ Early Career (2-5)</t>
  </si>
  <si>
    <t>11 Strategic Planning Meeting</t>
  </si>
  <si>
    <t>Actual</t>
  </si>
  <si>
    <t>2024 Actual</t>
  </si>
  <si>
    <t>2024 Budget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</si>
</sst>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&quot;$&quot;#,##0"/>
    <numFmt numFmtId="167" formatCode="0.0%"/>
    <numFmt numFmtId="168" formatCode="_(* #,##0.0_);_(* \(#,##0.0\);_(* &quot;-&quot;?_);_(@_)"/>
    <numFmt numFmtId="169" formatCode="#,##0.0000_);\(#,##0.0000\)"/>
    <numFmt numFmtId="170" formatCode="_(* #,##0.0000_);_(* \(#,##0.0000\);_(* &quot;-&quot;??_);_(@_)"/>
    <numFmt numFmtId="171" formatCode="0.0000%"/>
  </numFmts>
  <fonts count="50" x14ac:knownFonts="1">
    <font>
      <sz val="10"/>
      <name val="Arial"/>
    </font>
    <font>
      <sz val="10"/>
      <name val="Arial"/>
    </font>
    <font>
      <u/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u val="singleAccounting"/>
      <sz val="10"/>
      <name val="Arial"/>
      <family val="2"/>
    </font>
    <font>
      <sz val="10"/>
      <name val="Courier"/>
      <family val="3"/>
    </font>
    <font>
      <sz val="8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u/>
      <sz val="12"/>
      <name val="Arial"/>
      <family val="2"/>
    </font>
    <font>
      <sz val="10"/>
      <color indexed="17"/>
      <name val="Arial"/>
      <family val="2"/>
    </font>
    <font>
      <u val="singleAccounting"/>
      <sz val="10"/>
      <name val="Arial"/>
      <family val="2"/>
    </font>
    <font>
      <b/>
      <sz val="8"/>
      <name val="Arial"/>
      <family val="2"/>
    </font>
    <font>
      <strike/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9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9"/>
      <color indexed="81"/>
      <name val="Tahoma"/>
    </font>
    <font>
      <b/>
      <sz val="9"/>
      <color indexed="81"/>
      <name val="Tahoma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0"/>
      <name val="Arial"/>
    </font>
    <font>
      <b/>
      <sz val="10"/>
      <color rgb="FFC00000"/>
      <name val="Arial"/>
      <family val="2"/>
    </font>
    <font>
      <sz val="8"/>
      <color theme="6"/>
      <name val="Arial"/>
      <family val="2"/>
    </font>
    <font>
      <sz val="10"/>
      <color rgb="FF0000CC"/>
      <name val="Courier"/>
      <family val="3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14">
    <xf numFmtId="0" fontId="0" fillId="0" borderId="0"/>
    <xf numFmtId="43" fontId="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7" fontId="10" fillId="0" borderId="0"/>
    <xf numFmtId="9" fontId="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419">
    <xf numFmtId="0" fontId="0" fillId="0" borderId="0" xfId="0"/>
    <xf numFmtId="0" fontId="0" fillId="0" borderId="1" xfId="0" applyBorder="1"/>
    <xf numFmtId="0" fontId="0" fillId="0" borderId="2" xfId="0" applyBorder="1"/>
    <xf numFmtId="0" fontId="3" fillId="0" borderId="0" xfId="0" applyFont="1"/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0" fillId="0" borderId="5" xfId="0" applyBorder="1"/>
    <xf numFmtId="0" fontId="0" fillId="2" borderId="0" xfId="0" applyFill="1"/>
    <xf numFmtId="0" fontId="6" fillId="2" borderId="0" xfId="0" applyFont="1" applyFill="1"/>
    <xf numFmtId="0" fontId="2" fillId="0" borderId="0" xfId="0" applyFont="1"/>
    <xf numFmtId="164" fontId="0" fillId="0" borderId="2" xfId="5" applyNumberFormat="1" applyFont="1" applyBorder="1"/>
    <xf numFmtId="165" fontId="0" fillId="0" borderId="2" xfId="1" applyNumberFormat="1" applyFont="1" applyBorder="1"/>
    <xf numFmtId="165" fontId="0" fillId="0" borderId="1" xfId="1" applyNumberFormat="1" applyFont="1" applyBorder="1"/>
    <xf numFmtId="165" fontId="0" fillId="0" borderId="5" xfId="1" applyNumberFormat="1" applyFont="1" applyBorder="1"/>
    <xf numFmtId="41" fontId="0" fillId="0" borderId="0" xfId="0" applyNumberFormat="1"/>
    <xf numFmtId="41" fontId="0" fillId="0" borderId="2" xfId="0" applyNumberFormat="1" applyBorder="1"/>
    <xf numFmtId="41" fontId="0" fillId="0" borderId="1" xfId="0" applyNumberFormat="1" applyBorder="1"/>
    <xf numFmtId="41" fontId="0" fillId="0" borderId="5" xfId="0" applyNumberFormat="1" applyBorder="1"/>
    <xf numFmtId="41" fontId="9" fillId="0" borderId="5" xfId="0" applyNumberFormat="1" applyFont="1" applyBorder="1"/>
    <xf numFmtId="7" fontId="10" fillId="0" borderId="0" xfId="9"/>
    <xf numFmtId="7" fontId="1" fillId="0" borderId="0" xfId="9" applyFont="1"/>
    <xf numFmtId="7" fontId="1" fillId="0" borderId="0" xfId="9" applyFont="1" applyAlignment="1">
      <alignment horizontal="centerContinuous"/>
    </xf>
    <xf numFmtId="5" fontId="1" fillId="0" borderId="0" xfId="9" applyNumberFormat="1" applyFont="1"/>
    <xf numFmtId="5" fontId="1" fillId="0" borderId="0" xfId="9" applyNumberFormat="1" applyFont="1" applyAlignment="1">
      <alignment horizontal="left"/>
    </xf>
    <xf numFmtId="41" fontId="9" fillId="0" borderId="1" xfId="0" applyNumberFormat="1" applyFont="1" applyBorder="1"/>
    <xf numFmtId="41" fontId="6" fillId="0" borderId="5" xfId="0" applyNumberFormat="1" applyFont="1" applyBorder="1"/>
    <xf numFmtId="165" fontId="9" fillId="0" borderId="5" xfId="1" applyNumberFormat="1" applyFont="1" applyBorder="1"/>
    <xf numFmtId="164" fontId="7" fillId="0" borderId="2" xfId="5" applyNumberFormat="1" applyFont="1" applyBorder="1"/>
    <xf numFmtId="164" fontId="0" fillId="0" borderId="0" xfId="5" applyNumberFormat="1" applyFont="1" applyBorder="1"/>
    <xf numFmtId="165" fontId="6" fillId="0" borderId="2" xfId="1" applyNumberFormat="1" applyFont="1" applyBorder="1"/>
    <xf numFmtId="165" fontId="0" fillId="0" borderId="0" xfId="1" applyNumberFormat="1" applyFont="1" applyBorder="1"/>
    <xf numFmtId="0" fontId="11" fillId="0" borderId="2" xfId="0" applyFont="1" applyBorder="1"/>
    <xf numFmtId="0" fontId="0" fillId="0" borderId="0" xfId="0" quotePrefix="1"/>
    <xf numFmtId="165" fontId="6" fillId="0" borderId="5" xfId="1" applyNumberFormat="1" applyFont="1" applyBorder="1"/>
    <xf numFmtId="0" fontId="13" fillId="0" borderId="0" xfId="0" applyFont="1"/>
    <xf numFmtId="0" fontId="6" fillId="0" borderId="0" xfId="0" applyFont="1"/>
    <xf numFmtId="164" fontId="7" fillId="0" borderId="0" xfId="5" applyNumberFormat="1" applyFont="1" applyBorder="1"/>
    <xf numFmtId="0" fontId="7" fillId="0" borderId="0" xfId="0" applyFont="1"/>
    <xf numFmtId="165" fontId="0" fillId="0" borderId="0" xfId="0" applyNumberFormat="1"/>
    <xf numFmtId="0" fontId="14" fillId="2" borderId="0" xfId="0" applyFont="1" applyFill="1"/>
    <xf numFmtId="0" fontId="13" fillId="2" borderId="0" xfId="0" applyFont="1" applyFill="1"/>
    <xf numFmtId="0" fontId="12" fillId="0" borderId="0" xfId="0" applyFont="1"/>
    <xf numFmtId="165" fontId="9" fillId="0" borderId="0" xfId="1" applyNumberFormat="1" applyFont="1" applyBorder="1"/>
    <xf numFmtId="165" fontId="0" fillId="2" borderId="0" xfId="1" applyNumberFormat="1" applyFont="1" applyFill="1" applyBorder="1"/>
    <xf numFmtId="0" fontId="8" fillId="0" borderId="0" xfId="0" applyFont="1"/>
    <xf numFmtId="165" fontId="6" fillId="0" borderId="0" xfId="1" applyNumberFormat="1" applyFont="1" applyBorder="1"/>
    <xf numFmtId="0" fontId="4" fillId="0" borderId="6" xfId="0" applyFont="1" applyBorder="1" applyAlignment="1">
      <alignment horizontal="center"/>
    </xf>
    <xf numFmtId="0" fontId="0" fillId="0" borderId="7" xfId="0" applyBorder="1"/>
    <xf numFmtId="165" fontId="2" fillId="0" borderId="0" xfId="1" applyNumberFormat="1" applyFont="1" applyBorder="1"/>
    <xf numFmtId="0" fontId="7" fillId="0" borderId="8" xfId="0" applyFont="1" applyBorder="1"/>
    <xf numFmtId="0" fontId="0" fillId="0" borderId="8" xfId="0" applyBorder="1"/>
    <xf numFmtId="167" fontId="0" fillId="0" borderId="5" xfId="0" applyNumberFormat="1" applyBorder="1"/>
    <xf numFmtId="167" fontId="7" fillId="0" borderId="5" xfId="0" applyNumberFormat="1" applyFont="1" applyBorder="1"/>
    <xf numFmtId="0" fontId="17" fillId="0" borderId="0" xfId="0" applyFont="1" applyAlignment="1">
      <alignment horizontal="center"/>
    </xf>
    <xf numFmtId="166" fontId="7" fillId="0" borderId="0" xfId="0" applyNumberFormat="1" applyFont="1"/>
    <xf numFmtId="0" fontId="7" fillId="0" borderId="8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4" fillId="0" borderId="8" xfId="0" applyFont="1" applyBorder="1"/>
    <xf numFmtId="0" fontId="6" fillId="0" borderId="5" xfId="0" applyFont="1" applyBorder="1"/>
    <xf numFmtId="167" fontId="6" fillId="0" borderId="5" xfId="0" applyNumberFormat="1" applyFont="1" applyBorder="1"/>
    <xf numFmtId="167" fontId="0" fillId="0" borderId="0" xfId="0" applyNumberFormat="1"/>
    <xf numFmtId="37" fontId="0" fillId="0" borderId="0" xfId="0" applyNumberFormat="1"/>
    <xf numFmtId="0" fontId="13" fillId="0" borderId="5" xfId="0" applyFont="1" applyBorder="1"/>
    <xf numFmtId="0" fontId="4" fillId="0" borderId="8" xfId="0" applyFont="1" applyBorder="1" applyAlignment="1">
      <alignment horizontal="center"/>
    </xf>
    <xf numFmtId="0" fontId="5" fillId="0" borderId="0" xfId="0" applyFont="1"/>
    <xf numFmtId="165" fontId="0" fillId="0" borderId="2" xfId="0" applyNumberFormat="1" applyBorder="1"/>
    <xf numFmtId="165" fontId="2" fillId="0" borderId="0" xfId="0" applyNumberFormat="1" applyFont="1"/>
    <xf numFmtId="7" fontId="1" fillId="0" borderId="3" xfId="9" applyFont="1" applyBorder="1" applyAlignment="1">
      <alignment horizontal="left"/>
    </xf>
    <xf numFmtId="7" fontId="10" fillId="0" borderId="7" xfId="9" applyBorder="1"/>
    <xf numFmtId="165" fontId="9" fillId="0" borderId="5" xfId="1" applyNumberFormat="1" applyFont="1" applyFill="1" applyBorder="1"/>
    <xf numFmtId="41" fontId="1" fillId="0" borderId="8" xfId="5" applyNumberFormat="1" applyFont="1" applyBorder="1"/>
    <xf numFmtId="165" fontId="6" fillId="0" borderId="0" xfId="0" applyNumberFormat="1" applyFont="1"/>
    <xf numFmtId="165" fontId="9" fillId="0" borderId="0" xfId="0" applyNumberFormat="1" applyFont="1"/>
    <xf numFmtId="164" fontId="0" fillId="0" borderId="0" xfId="0" applyNumberFormat="1"/>
    <xf numFmtId="0" fontId="3" fillId="2" borderId="0" xfId="0" applyFont="1" applyFill="1"/>
    <xf numFmtId="165" fontId="0" fillId="0" borderId="2" xfId="1" applyNumberFormat="1" applyFont="1" applyFill="1" applyBorder="1"/>
    <xf numFmtId="165" fontId="16" fillId="0" borderId="2" xfId="1" applyNumberFormat="1" applyFont="1" applyBorder="1"/>
    <xf numFmtId="0" fontId="4" fillId="0" borderId="2" xfId="0" applyFont="1" applyBorder="1" applyAlignment="1">
      <alignment horizontal="center"/>
    </xf>
    <xf numFmtId="165" fontId="7" fillId="0" borderId="2" xfId="1" applyNumberFormat="1" applyFont="1" applyBorder="1"/>
    <xf numFmtId="2" fontId="0" fillId="0" borderId="0" xfId="0" applyNumberFormat="1"/>
    <xf numFmtId="167" fontId="0" fillId="0" borderId="1" xfId="0" applyNumberFormat="1" applyBorder="1"/>
    <xf numFmtId="165" fontId="0" fillId="0" borderId="5" xfId="0" applyNumberFormat="1" applyBorder="1"/>
    <xf numFmtId="167" fontId="7" fillId="0" borderId="0" xfId="0" applyNumberFormat="1" applyFont="1"/>
    <xf numFmtId="37" fontId="0" fillId="0" borderId="5" xfId="0" applyNumberFormat="1" applyBorder="1"/>
    <xf numFmtId="165" fontId="6" fillId="0" borderId="1" xfId="1" applyNumberFormat="1" applyFont="1" applyBorder="1"/>
    <xf numFmtId="7" fontId="4" fillId="0" borderId="0" xfId="9" applyFont="1"/>
    <xf numFmtId="0" fontId="4" fillId="0" borderId="6" xfId="0" applyFont="1" applyBorder="1"/>
    <xf numFmtId="165" fontId="6" fillId="0" borderId="6" xfId="1" applyNumberFormat="1" applyFont="1" applyFill="1" applyBorder="1"/>
    <xf numFmtId="165" fontId="0" fillId="0" borderId="5" xfId="1" applyNumberFormat="1" applyFont="1" applyFill="1" applyBorder="1"/>
    <xf numFmtId="165" fontId="21" fillId="0" borderId="2" xfId="1" applyNumberFormat="1" applyFont="1" applyFill="1" applyBorder="1"/>
    <xf numFmtId="165" fontId="21" fillId="0" borderId="5" xfId="1" applyNumberFormat="1" applyFont="1" applyFill="1" applyBorder="1"/>
    <xf numFmtId="165" fontId="6" fillId="0" borderId="2" xfId="1" applyNumberFormat="1" applyFont="1" applyFill="1" applyBorder="1"/>
    <xf numFmtId="165" fontId="0" fillId="0" borderId="6" xfId="1" applyNumberFormat="1" applyFont="1" applyBorder="1"/>
    <xf numFmtId="167" fontId="6" fillId="0" borderId="1" xfId="0" applyNumberFormat="1" applyFont="1" applyBorder="1"/>
    <xf numFmtId="3" fontId="10" fillId="0" borderId="0" xfId="9" applyNumberFormat="1" applyAlignment="1">
      <alignment horizontal="right"/>
    </xf>
    <xf numFmtId="3" fontId="1" fillId="0" borderId="0" xfId="9" applyNumberFormat="1" applyFont="1" applyAlignment="1">
      <alignment horizontal="right"/>
    </xf>
    <xf numFmtId="7" fontId="1" fillId="0" borderId="8" xfId="9" applyFont="1" applyBorder="1"/>
    <xf numFmtId="167" fontId="1" fillId="0" borderId="5" xfId="10" applyNumberFormat="1" applyFont="1" applyBorder="1"/>
    <xf numFmtId="167" fontId="1" fillId="0" borderId="1" xfId="10" applyNumberFormat="1" applyFont="1" applyBorder="1"/>
    <xf numFmtId="165" fontId="6" fillId="0" borderId="6" xfId="1" applyNumberFormat="1" applyFont="1" applyBorder="1"/>
    <xf numFmtId="7" fontId="3" fillId="0" borderId="0" xfId="9" applyFont="1"/>
    <xf numFmtId="167" fontId="6" fillId="0" borderId="6" xfId="0" applyNumberFormat="1" applyFont="1" applyBorder="1"/>
    <xf numFmtId="167" fontId="0" fillId="0" borderId="6" xfId="0" applyNumberFormat="1" applyBorder="1"/>
    <xf numFmtId="167" fontId="7" fillId="0" borderId="8" xfId="0" applyNumberFormat="1" applyFont="1" applyBorder="1"/>
    <xf numFmtId="0" fontId="7" fillId="0" borderId="5" xfId="0" applyFont="1" applyBorder="1" applyAlignment="1">
      <alignment horizontal="center"/>
    </xf>
    <xf numFmtId="3" fontId="0" fillId="0" borderId="9" xfId="0" applyNumberFormat="1" applyBorder="1"/>
    <xf numFmtId="3" fontId="8" fillId="0" borderId="1" xfId="0" applyNumberFormat="1" applyFont="1" applyBorder="1"/>
    <xf numFmtId="165" fontId="25" fillId="0" borderId="5" xfId="1" applyNumberFormat="1" applyFont="1" applyFill="1" applyBorder="1"/>
    <xf numFmtId="165" fontId="6" fillId="0" borderId="5" xfId="1" applyNumberFormat="1" applyFont="1" applyFill="1" applyBorder="1"/>
    <xf numFmtId="0" fontId="0" fillId="0" borderId="9" xfId="0" applyBorder="1"/>
    <xf numFmtId="165" fontId="0" fillId="0" borderId="1" xfId="1" applyNumberFormat="1" applyFont="1" applyFill="1" applyBorder="1"/>
    <xf numFmtId="165" fontId="27" fillId="3" borderId="1" xfId="1" applyNumberFormat="1" applyFont="1" applyFill="1" applyBorder="1"/>
    <xf numFmtId="165" fontId="0" fillId="0" borderId="0" xfId="1" applyNumberFormat="1" applyFont="1" applyFill="1" applyBorder="1"/>
    <xf numFmtId="7" fontId="26" fillId="0" borderId="0" xfId="9" applyFont="1" applyAlignment="1">
      <alignment horizontal="center"/>
    </xf>
    <xf numFmtId="166" fontId="1" fillId="0" borderId="0" xfId="9" applyNumberFormat="1" applyFont="1" applyAlignment="1">
      <alignment horizontal="right"/>
    </xf>
    <xf numFmtId="167" fontId="6" fillId="0" borderId="0" xfId="0" applyNumberFormat="1" applyFont="1"/>
    <xf numFmtId="43" fontId="0" fillId="0" borderId="0" xfId="1" applyFont="1"/>
    <xf numFmtId="165" fontId="6" fillId="0" borderId="0" xfId="1" applyNumberFormat="1" applyFont="1" applyFill="1"/>
    <xf numFmtId="7" fontId="1" fillId="0" borderId="4" xfId="9" applyFont="1" applyBorder="1" applyAlignment="1">
      <alignment horizontal="left"/>
    </xf>
    <xf numFmtId="7" fontId="6" fillId="0" borderId="7" xfId="9" applyFont="1" applyBorder="1"/>
    <xf numFmtId="3" fontId="1" fillId="0" borderId="7" xfId="9" applyNumberFormat="1" applyFont="1" applyBorder="1" applyAlignment="1">
      <alignment horizontal="right"/>
    </xf>
    <xf numFmtId="167" fontId="7" fillId="0" borderId="10" xfId="10" applyNumberFormat="1" applyFont="1" applyBorder="1"/>
    <xf numFmtId="165" fontId="1" fillId="0" borderId="2" xfId="1" applyNumberFormat="1" applyFont="1" applyBorder="1" applyProtection="1"/>
    <xf numFmtId="165" fontId="6" fillId="0" borderId="5" xfId="1" applyNumberFormat="1" applyFont="1" applyBorder="1" applyAlignment="1"/>
    <xf numFmtId="165" fontId="29" fillId="0" borderId="6" xfId="1" applyNumberFormat="1" applyFont="1" applyBorder="1"/>
    <xf numFmtId="165" fontId="29" fillId="0" borderId="6" xfId="1" applyNumberFormat="1" applyFont="1" applyFill="1" applyBorder="1"/>
    <xf numFmtId="165" fontId="15" fillId="0" borderId="5" xfId="1" applyNumberFormat="1" applyFont="1" applyBorder="1"/>
    <xf numFmtId="165" fontId="1" fillId="0" borderId="5" xfId="1" applyNumberFormat="1" applyFont="1" applyBorder="1" applyProtection="1"/>
    <xf numFmtId="165" fontId="10" fillId="0" borderId="2" xfId="1" applyNumberFormat="1" applyFont="1" applyBorder="1"/>
    <xf numFmtId="165" fontId="6" fillId="0" borderId="5" xfId="1" applyNumberFormat="1" applyFont="1" applyFill="1" applyBorder="1" applyAlignment="1" applyProtection="1">
      <alignment horizontal="left"/>
    </xf>
    <xf numFmtId="165" fontId="6" fillId="0" borderId="4" xfId="1" applyNumberFormat="1" applyFont="1" applyBorder="1" applyProtection="1"/>
    <xf numFmtId="167" fontId="6" fillId="0" borderId="6" xfId="10" applyNumberFormat="1" applyFont="1" applyBorder="1"/>
    <xf numFmtId="167" fontId="1" fillId="0" borderId="11" xfId="10" applyNumberFormat="1" applyFont="1" applyBorder="1"/>
    <xf numFmtId="164" fontId="7" fillId="0" borderId="7" xfId="9" applyNumberFormat="1" applyFont="1" applyBorder="1"/>
    <xf numFmtId="165" fontId="1" fillId="0" borderId="7" xfId="9" applyNumberFormat="1" applyFont="1" applyBorder="1"/>
    <xf numFmtId="167" fontId="1" fillId="0" borderId="12" xfId="10" applyNumberFormat="1" applyFont="1" applyBorder="1"/>
    <xf numFmtId="165" fontId="7" fillId="0" borderId="10" xfId="1" applyNumberFormat="1" applyFont="1" applyFill="1" applyBorder="1" applyProtection="1"/>
    <xf numFmtId="7" fontId="29" fillId="0" borderId="2" xfId="9" applyFont="1" applyBorder="1"/>
    <xf numFmtId="165" fontId="29" fillId="0" borderId="2" xfId="1" applyNumberFormat="1" applyFont="1" applyBorder="1"/>
    <xf numFmtId="167" fontId="29" fillId="0" borderId="6" xfId="0" applyNumberFormat="1" applyFont="1" applyBorder="1"/>
    <xf numFmtId="0" fontId="29" fillId="0" borderId="0" xfId="0" applyFont="1"/>
    <xf numFmtId="167" fontId="29" fillId="0" borderId="8" xfId="0" applyNumberFormat="1" applyFont="1" applyBorder="1"/>
    <xf numFmtId="165" fontId="7" fillId="0" borderId="13" xfId="1" applyNumberFormat="1" applyFont="1" applyBorder="1"/>
    <xf numFmtId="167" fontId="7" fillId="0" borderId="10" xfId="0" applyNumberFormat="1" applyFont="1" applyBorder="1"/>
    <xf numFmtId="0" fontId="8" fillId="0" borderId="5" xfId="0" applyFont="1" applyBorder="1"/>
    <xf numFmtId="0" fontId="7" fillId="0" borderId="5" xfId="0" applyFont="1" applyBorder="1"/>
    <xf numFmtId="0" fontId="0" fillId="0" borderId="4" xfId="0" applyBorder="1"/>
    <xf numFmtId="164" fontId="7" fillId="0" borderId="7" xfId="1" applyNumberFormat="1" applyFont="1" applyBorder="1"/>
    <xf numFmtId="6" fontId="0" fillId="0" borderId="7" xfId="0" applyNumberFormat="1" applyBorder="1"/>
    <xf numFmtId="0" fontId="0" fillId="0" borderId="12" xfId="0" applyBorder="1"/>
    <xf numFmtId="0" fontId="8" fillId="0" borderId="2" xfId="0" applyFont="1" applyBorder="1"/>
    <xf numFmtId="0" fontId="6" fillId="0" borderId="2" xfId="0" applyFont="1" applyBorder="1"/>
    <xf numFmtId="165" fontId="29" fillId="0" borderId="5" xfId="1" applyNumberFormat="1" applyFont="1" applyBorder="1"/>
    <xf numFmtId="165" fontId="29" fillId="0" borderId="5" xfId="1" applyNumberFormat="1" applyFont="1" applyFill="1" applyBorder="1"/>
    <xf numFmtId="167" fontId="29" fillId="0" borderId="5" xfId="0" applyNumberFormat="1" applyFont="1" applyBorder="1"/>
    <xf numFmtId="165" fontId="29" fillId="0" borderId="4" xfId="1" applyNumberFormat="1" applyFont="1" applyBorder="1"/>
    <xf numFmtId="165" fontId="7" fillId="0" borderId="10" xfId="1" applyNumberFormat="1" applyFont="1" applyBorder="1"/>
    <xf numFmtId="0" fontId="24" fillId="0" borderId="0" xfId="0" quotePrefix="1" applyFont="1"/>
    <xf numFmtId="165" fontId="6" fillId="0" borderId="5" xfId="1" quotePrefix="1" applyNumberFormat="1" applyFont="1" applyBorder="1"/>
    <xf numFmtId="165" fontId="0" fillId="0" borderId="0" xfId="1" applyNumberFormat="1" applyFont="1"/>
    <xf numFmtId="165" fontId="29" fillId="0" borderId="4" xfId="1" applyNumberFormat="1" applyFont="1" applyFill="1" applyBorder="1"/>
    <xf numFmtId="165" fontId="0" fillId="0" borderId="7" xfId="1" applyNumberFormat="1" applyFont="1" applyBorder="1"/>
    <xf numFmtId="0" fontId="4" fillId="0" borderId="5" xfId="0" applyFont="1" applyBorder="1"/>
    <xf numFmtId="0" fontId="7" fillId="0" borderId="5" xfId="0" applyFont="1" applyBorder="1" applyAlignment="1">
      <alignment horizontal="left"/>
    </xf>
    <xf numFmtId="7" fontId="29" fillId="0" borderId="2" xfId="9" applyFont="1" applyBorder="1" applyAlignment="1">
      <alignment horizontal="left"/>
    </xf>
    <xf numFmtId="7" fontId="29" fillId="0" borderId="0" xfId="9" applyFont="1"/>
    <xf numFmtId="0" fontId="4" fillId="0" borderId="5" xfId="0" applyFont="1" applyBorder="1" applyAlignment="1">
      <alignment horizontal="center"/>
    </xf>
    <xf numFmtId="0" fontId="29" fillId="0" borderId="5" xfId="0" applyFont="1" applyBorder="1"/>
    <xf numFmtId="0" fontId="29" fillId="0" borderId="2" xfId="0" applyFont="1" applyBorder="1"/>
    <xf numFmtId="0" fontId="29" fillId="0" borderId="4" xfId="0" applyFont="1" applyBorder="1"/>
    <xf numFmtId="0" fontId="6" fillId="0" borderId="7" xfId="0" applyFont="1" applyBorder="1"/>
    <xf numFmtId="0" fontId="6" fillId="0" borderId="12" xfId="0" applyFont="1" applyBorder="1"/>
    <xf numFmtId="165" fontId="7" fillId="0" borderId="14" xfId="1" applyNumberFormat="1" applyFont="1" applyBorder="1"/>
    <xf numFmtId="167" fontId="7" fillId="0" borderId="14" xfId="0" applyNumberFormat="1" applyFont="1" applyBorder="1"/>
    <xf numFmtId="165" fontId="1" fillId="0" borderId="5" xfId="1" applyNumberFormat="1" applyBorder="1"/>
    <xf numFmtId="0" fontId="7" fillId="0" borderId="2" xfId="0" applyFont="1" applyBorder="1"/>
    <xf numFmtId="166" fontId="4" fillId="0" borderId="2" xfId="0" applyNumberFormat="1" applyFont="1" applyBorder="1" applyAlignment="1">
      <alignment horizontal="center"/>
    </xf>
    <xf numFmtId="0" fontId="4" fillId="0" borderId="0" xfId="0" applyFont="1"/>
    <xf numFmtId="165" fontId="2" fillId="0" borderId="2" xfId="1" applyNumberFormat="1" applyFont="1" applyBorder="1"/>
    <xf numFmtId="165" fontId="29" fillId="0" borderId="12" xfId="1" applyNumberFormat="1" applyFont="1" applyBorder="1"/>
    <xf numFmtId="165" fontId="29" fillId="0" borderId="7" xfId="1" applyNumberFormat="1" applyFont="1" applyBorder="1"/>
    <xf numFmtId="0" fontId="8" fillId="0" borderId="5" xfId="0" quotePrefix="1" applyFont="1" applyBorder="1"/>
    <xf numFmtId="41" fontId="4" fillId="0" borderId="2" xfId="0" applyNumberFormat="1" applyFont="1" applyBorder="1" applyAlignment="1">
      <alignment horizontal="center"/>
    </xf>
    <xf numFmtId="41" fontId="0" fillId="0" borderId="7" xfId="0" applyNumberFormat="1" applyBorder="1"/>
    <xf numFmtId="165" fontId="0" fillId="0" borderId="2" xfId="1" applyNumberFormat="1" applyFont="1" applyBorder="1" applyAlignment="1">
      <alignment horizontal="right" vertical="center"/>
    </xf>
    <xf numFmtId="165" fontId="29" fillId="0" borderId="4" xfId="1" applyNumberFormat="1" applyFont="1" applyBorder="1" applyAlignment="1">
      <alignment horizontal="right" vertical="center"/>
    </xf>
    <xf numFmtId="165" fontId="1" fillId="0" borderId="5" xfId="1" applyNumberFormat="1" applyBorder="1" applyAlignment="1">
      <alignment horizontal="right" vertical="center"/>
    </xf>
    <xf numFmtId="165" fontId="0" fillId="0" borderId="5" xfId="1" applyNumberFormat="1" applyFont="1" applyBorder="1" applyAlignment="1">
      <alignment horizontal="right" vertical="center"/>
    </xf>
    <xf numFmtId="165" fontId="29" fillId="0" borderId="6" xfId="1" applyNumberFormat="1" applyFont="1" applyBorder="1" applyAlignment="1">
      <alignment horizontal="right" vertical="center"/>
    </xf>
    <xf numFmtId="165" fontId="6" fillId="0" borderId="5" xfId="1" applyNumberFormat="1" applyFont="1" applyBorder="1" applyAlignment="1">
      <alignment horizontal="right" vertical="center"/>
    </xf>
    <xf numFmtId="0" fontId="18" fillId="0" borderId="2" xfId="0" applyFont="1" applyBorder="1"/>
    <xf numFmtId="165" fontId="7" fillId="0" borderId="15" xfId="1" applyNumberFormat="1" applyFont="1" applyBorder="1"/>
    <xf numFmtId="165" fontId="7" fillId="0" borderId="8" xfId="1" applyNumberFormat="1" applyFont="1" applyBorder="1"/>
    <xf numFmtId="167" fontId="0" fillId="0" borderId="12" xfId="0" applyNumberFormat="1" applyBorder="1"/>
    <xf numFmtId="0" fontId="6" fillId="0" borderId="5" xfId="0" quotePrefix="1" applyFont="1" applyBorder="1"/>
    <xf numFmtId="41" fontId="7" fillId="0" borderId="10" xfId="0" applyNumberFormat="1" applyFont="1" applyBorder="1"/>
    <xf numFmtId="0" fontId="0" fillId="0" borderId="16" xfId="0" applyBorder="1"/>
    <xf numFmtId="41" fontId="7" fillId="0" borderId="8" xfId="0" applyNumberFormat="1" applyFont="1" applyBorder="1"/>
    <xf numFmtId="37" fontId="7" fillId="0" borderId="0" xfId="5" applyNumberFormat="1" applyFont="1" applyBorder="1"/>
    <xf numFmtId="165" fontId="7" fillId="0" borderId="17" xfId="1" applyNumberFormat="1" applyFont="1" applyBorder="1"/>
    <xf numFmtId="0" fontId="3" fillId="0" borderId="0" xfId="0" quotePrefix="1" applyFont="1"/>
    <xf numFmtId="165" fontId="7" fillId="0" borderId="2" xfId="1" applyNumberFormat="1" applyFont="1" applyFill="1" applyBorder="1"/>
    <xf numFmtId="165" fontId="7" fillId="0" borderId="13" xfId="1" applyNumberFormat="1" applyFont="1" applyFill="1" applyBorder="1"/>
    <xf numFmtId="165" fontId="7" fillId="0" borderId="18" xfId="1" applyNumberFormat="1" applyFont="1" applyFill="1" applyBorder="1"/>
    <xf numFmtId="165" fontId="7" fillId="0" borderId="5" xfId="1" applyNumberFormat="1" applyFont="1" applyFill="1" applyBorder="1" applyAlignment="1">
      <alignment horizontal="center"/>
    </xf>
    <xf numFmtId="165" fontId="7" fillId="0" borderId="2" xfId="1" applyNumberFormat="1" applyFont="1" applyBorder="1" applyAlignment="1">
      <alignment horizontal="center"/>
    </xf>
    <xf numFmtId="165" fontId="4" fillId="0" borderId="5" xfId="1" applyNumberFormat="1" applyFont="1" applyFill="1" applyBorder="1" applyAlignment="1">
      <alignment horizontal="center"/>
    </xf>
    <xf numFmtId="165" fontId="4" fillId="0" borderId="2" xfId="1" applyNumberFormat="1" applyFont="1" applyBorder="1" applyAlignment="1">
      <alignment horizontal="center"/>
    </xf>
    <xf numFmtId="0" fontId="8" fillId="0" borderId="5" xfId="0" applyFont="1" applyBorder="1" applyAlignment="1">
      <alignment horizontal="left"/>
    </xf>
    <xf numFmtId="165" fontId="29" fillId="0" borderId="5" xfId="0" applyNumberFormat="1" applyFont="1" applyBorder="1"/>
    <xf numFmtId="9" fontId="7" fillId="0" borderId="10" xfId="0" applyNumberFormat="1" applyFont="1" applyBorder="1"/>
    <xf numFmtId="165" fontId="7" fillId="0" borderId="7" xfId="1" applyNumberFormat="1" applyFont="1" applyBorder="1"/>
    <xf numFmtId="165" fontId="0" fillId="0" borderId="7" xfId="0" applyNumberFormat="1" applyBorder="1"/>
    <xf numFmtId="165" fontId="7" fillId="0" borderId="5" xfId="1" applyNumberFormat="1" applyFont="1" applyFill="1" applyBorder="1"/>
    <xf numFmtId="165" fontId="7" fillId="0" borderId="10" xfId="1" applyNumberFormat="1" applyFont="1" applyFill="1" applyBorder="1"/>
    <xf numFmtId="165" fontId="9" fillId="0" borderId="7" xfId="1" applyNumberFormat="1" applyFont="1" applyBorder="1"/>
    <xf numFmtId="165" fontId="7" fillId="0" borderId="14" xfId="1" applyNumberFormat="1" applyFont="1" applyFill="1" applyBorder="1"/>
    <xf numFmtId="165" fontId="7" fillId="0" borderId="19" xfId="1" applyNumberFormat="1" applyFont="1" applyFill="1" applyBorder="1"/>
    <xf numFmtId="165" fontId="7" fillId="0" borderId="20" xfId="1" applyNumberFormat="1" applyFont="1" applyFill="1" applyBorder="1"/>
    <xf numFmtId="0" fontId="8" fillId="0" borderId="4" xfId="0" applyFont="1" applyBorder="1"/>
    <xf numFmtId="165" fontId="0" fillId="0" borderId="5" xfId="1" applyNumberFormat="1" applyFont="1" applyBorder="1" applyAlignment="1">
      <alignment horizontal="left"/>
    </xf>
    <xf numFmtId="165" fontId="6" fillId="0" borderId="5" xfId="1" applyNumberFormat="1" applyFont="1" applyBorder="1" applyAlignment="1">
      <alignment horizontal="left"/>
    </xf>
    <xf numFmtId="165" fontId="11" fillId="0" borderId="0" xfId="1" applyNumberFormat="1" applyFont="1" applyBorder="1"/>
    <xf numFmtId="165" fontId="7" fillId="0" borderId="20" xfId="1" applyNumberFormat="1" applyFont="1" applyBorder="1"/>
    <xf numFmtId="165" fontId="7" fillId="0" borderId="15" xfId="1" applyNumberFormat="1" applyFont="1" applyFill="1" applyBorder="1"/>
    <xf numFmtId="0" fontId="30" fillId="0" borderId="5" xfId="0" applyFont="1" applyBorder="1"/>
    <xf numFmtId="0" fontId="30" fillId="0" borderId="2" xfId="0" applyFont="1" applyBorder="1"/>
    <xf numFmtId="165" fontId="0" fillId="0" borderId="5" xfId="3" applyNumberFormat="1" applyFont="1" applyFill="1" applyBorder="1"/>
    <xf numFmtId="165" fontId="6" fillId="0" borderId="6" xfId="3" applyNumberFormat="1" applyFont="1" applyFill="1" applyBorder="1"/>
    <xf numFmtId="165" fontId="6" fillId="0" borderId="5" xfId="3" applyNumberFormat="1" applyFont="1" applyFill="1" applyBorder="1"/>
    <xf numFmtId="165" fontId="6" fillId="0" borderId="6" xfId="0" applyNumberFormat="1" applyFont="1" applyBorder="1"/>
    <xf numFmtId="165" fontId="1" fillId="0" borderId="0" xfId="9" applyNumberFormat="1" applyFont="1"/>
    <xf numFmtId="41" fontId="29" fillId="0" borderId="1" xfId="0" applyNumberFormat="1" applyFont="1" applyBorder="1"/>
    <xf numFmtId="41" fontId="0" fillId="0" borderId="8" xfId="0" applyNumberFormat="1" applyBorder="1"/>
    <xf numFmtId="167" fontId="0" fillId="0" borderId="8" xfId="0" applyNumberFormat="1" applyBorder="1"/>
    <xf numFmtId="41" fontId="6" fillId="0" borderId="8" xfId="0" applyNumberFormat="1" applyFont="1" applyBorder="1"/>
    <xf numFmtId="3" fontId="8" fillId="0" borderId="5" xfId="0" applyNumberFormat="1" applyFont="1" applyBorder="1"/>
    <xf numFmtId="3" fontId="0" fillId="0" borderId="5" xfId="0" applyNumberFormat="1" applyBorder="1"/>
    <xf numFmtId="165" fontId="31" fillId="0" borderId="5" xfId="3" applyNumberFormat="1" applyFont="1" applyFill="1" applyBorder="1"/>
    <xf numFmtId="37" fontId="32" fillId="0" borderId="0" xfId="0" applyNumberFormat="1" applyFont="1"/>
    <xf numFmtId="37" fontId="33" fillId="0" borderId="0" xfId="0" applyNumberFormat="1" applyFont="1"/>
    <xf numFmtId="37" fontId="32" fillId="0" borderId="0" xfId="0" applyNumberFormat="1" applyFont="1" applyAlignment="1">
      <alignment horizontal="right"/>
    </xf>
    <xf numFmtId="2" fontId="32" fillId="0" borderId="0" xfId="0" applyNumberFormat="1" applyFont="1" applyAlignment="1">
      <alignment horizontal="right"/>
    </xf>
    <xf numFmtId="37" fontId="4" fillId="0" borderId="7" xfId="0" applyNumberFormat="1" applyFont="1" applyBorder="1"/>
    <xf numFmtId="37" fontId="7" fillId="0" borderId="0" xfId="0" applyNumberFormat="1" applyFont="1"/>
    <xf numFmtId="37" fontId="32" fillId="0" borderId="5" xfId="0" applyNumberFormat="1" applyFont="1" applyBorder="1"/>
    <xf numFmtId="37" fontId="32" fillId="0" borderId="1" xfId="0" applyNumberFormat="1" applyFont="1" applyBorder="1"/>
    <xf numFmtId="37" fontId="32" fillId="0" borderId="5" xfId="0" applyNumberFormat="1" applyFont="1" applyBorder="1" applyAlignment="1">
      <alignment horizontal="right"/>
    </xf>
    <xf numFmtId="41" fontId="32" fillId="0" borderId="5" xfId="0" applyNumberFormat="1" applyFont="1" applyBorder="1"/>
    <xf numFmtId="37" fontId="32" fillId="0" borderId="0" xfId="0" applyNumberFormat="1" applyFont="1" applyAlignment="1">
      <alignment horizontal="center"/>
    </xf>
    <xf numFmtId="37" fontId="32" fillId="0" borderId="0" xfId="0" applyNumberFormat="1" applyFont="1" applyAlignment="1">
      <alignment horizontal="left"/>
    </xf>
    <xf numFmtId="165" fontId="32" fillId="0" borderId="5" xfId="1" applyNumberFormat="1" applyFont="1" applyBorder="1"/>
    <xf numFmtId="165" fontId="32" fillId="0" borderId="1" xfId="1" applyNumberFormat="1" applyFont="1" applyBorder="1"/>
    <xf numFmtId="165" fontId="32" fillId="0" borderId="5" xfId="1" applyNumberFormat="1" applyFont="1" applyFill="1" applyBorder="1"/>
    <xf numFmtId="165" fontId="32" fillId="0" borderId="5" xfId="1" applyNumberFormat="1" applyFont="1" applyBorder="1" applyAlignment="1">
      <alignment horizontal="left"/>
    </xf>
    <xf numFmtId="165" fontId="32" fillId="0" borderId="5" xfId="1" applyNumberFormat="1" applyFont="1" applyBorder="1" applyProtection="1"/>
    <xf numFmtId="165" fontId="32" fillId="0" borderId="1" xfId="1" applyNumberFormat="1" applyFont="1" applyBorder="1" applyProtection="1"/>
    <xf numFmtId="165" fontId="32" fillId="0" borderId="5" xfId="1" applyNumberFormat="1" applyFont="1" applyFill="1" applyBorder="1" applyProtection="1"/>
    <xf numFmtId="37" fontId="4" fillId="0" borderId="7" xfId="0" applyNumberFormat="1" applyFont="1" applyBorder="1" applyAlignment="1">
      <alignment horizontal="left"/>
    </xf>
    <xf numFmtId="165" fontId="32" fillId="0" borderId="14" xfId="1" applyNumberFormat="1" applyFont="1" applyBorder="1" applyProtection="1"/>
    <xf numFmtId="165" fontId="32" fillId="0" borderId="17" xfId="1" applyNumberFormat="1" applyFont="1" applyBorder="1" applyProtection="1"/>
    <xf numFmtId="165" fontId="32" fillId="0" borderId="14" xfId="1" applyNumberFormat="1" applyFont="1" applyFill="1" applyBorder="1" applyProtection="1"/>
    <xf numFmtId="37" fontId="4" fillId="0" borderId="0" xfId="0" applyNumberFormat="1" applyFont="1" applyAlignment="1">
      <alignment horizontal="left"/>
    </xf>
    <xf numFmtId="37" fontId="7" fillId="0" borderId="0" xfId="0" applyNumberFormat="1" applyFont="1" applyAlignment="1">
      <alignment horizontal="left"/>
    </xf>
    <xf numFmtId="37" fontId="32" fillId="2" borderId="0" xfId="0" applyNumberFormat="1" applyFont="1" applyFill="1"/>
    <xf numFmtId="165" fontId="32" fillId="0" borderId="6" xfId="1" applyNumberFormat="1" applyFont="1" applyBorder="1"/>
    <xf numFmtId="165" fontId="32" fillId="0" borderId="12" xfId="1" applyNumberFormat="1" applyFont="1" applyBorder="1"/>
    <xf numFmtId="165" fontId="32" fillId="0" borderId="6" xfId="1" applyNumberFormat="1" applyFont="1" applyFill="1" applyBorder="1"/>
    <xf numFmtId="37" fontId="4" fillId="0" borderId="21" xfId="0" applyNumberFormat="1" applyFont="1" applyBorder="1"/>
    <xf numFmtId="165" fontId="7" fillId="0" borderId="22" xfId="1" applyNumberFormat="1" applyFont="1" applyBorder="1"/>
    <xf numFmtId="165" fontId="7" fillId="0" borderId="23" xfId="1" applyNumberFormat="1" applyFont="1" applyBorder="1"/>
    <xf numFmtId="165" fontId="7" fillId="0" borderId="22" xfId="1" applyNumberFormat="1" applyFont="1" applyFill="1" applyBorder="1"/>
    <xf numFmtId="169" fontId="32" fillId="0" borderId="0" xfId="0" applyNumberFormat="1" applyFont="1"/>
    <xf numFmtId="39" fontId="32" fillId="0" borderId="0" xfId="0" applyNumberFormat="1" applyFont="1"/>
    <xf numFmtId="43" fontId="32" fillId="0" borderId="0" xfId="1" applyFont="1"/>
    <xf numFmtId="7" fontId="29" fillId="0" borderId="0" xfId="9" applyFont="1" applyAlignment="1">
      <alignment horizontal="left"/>
    </xf>
    <xf numFmtId="3" fontId="47" fillId="4" borderId="0" xfId="9" applyNumberFormat="1" applyFont="1" applyFill="1" applyAlignment="1">
      <alignment horizontal="right"/>
    </xf>
    <xf numFmtId="3" fontId="6" fillId="0" borderId="0" xfId="9" applyNumberFormat="1" applyFont="1" applyAlignment="1">
      <alignment horizontal="right"/>
    </xf>
    <xf numFmtId="3" fontId="1" fillId="5" borderId="0" xfId="9" applyNumberFormat="1" applyFont="1" applyFill="1" applyAlignment="1">
      <alignment horizontal="right"/>
    </xf>
    <xf numFmtId="7" fontId="7" fillId="0" borderId="0" xfId="9" applyFont="1" applyAlignment="1">
      <alignment horizontal="left"/>
    </xf>
    <xf numFmtId="3" fontId="7" fillId="0" borderId="0" xfId="9" applyNumberFormat="1" applyFont="1" applyAlignment="1">
      <alignment horizontal="right"/>
    </xf>
    <xf numFmtId="37" fontId="6" fillId="0" borderId="0" xfId="0" applyNumberFormat="1" applyFont="1"/>
    <xf numFmtId="0" fontId="4" fillId="0" borderId="24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164" fontId="6" fillId="0" borderId="7" xfId="9" applyNumberFormat="1" applyFont="1" applyBorder="1"/>
    <xf numFmtId="165" fontId="6" fillId="0" borderId="1" xfId="1" applyNumberFormat="1" applyFont="1" applyFill="1" applyBorder="1"/>
    <xf numFmtId="165" fontId="29" fillId="0" borderId="12" xfId="1" applyNumberFormat="1" applyFont="1" applyFill="1" applyBorder="1"/>
    <xf numFmtId="165" fontId="6" fillId="0" borderId="4" xfId="1" applyNumberFormat="1" applyFont="1" applyBorder="1"/>
    <xf numFmtId="165" fontId="34" fillId="0" borderId="5" xfId="1" applyNumberFormat="1" applyFont="1" applyFill="1" applyBorder="1"/>
    <xf numFmtId="7" fontId="6" fillId="0" borderId="2" xfId="9" applyFont="1" applyBorder="1"/>
    <xf numFmtId="165" fontId="34" fillId="0" borderId="1" xfId="1" applyNumberFormat="1" applyFont="1" applyFill="1" applyBorder="1"/>
    <xf numFmtId="0" fontId="35" fillId="0" borderId="5" xfId="0" applyFont="1" applyBorder="1"/>
    <xf numFmtId="7" fontId="0" fillId="0" borderId="0" xfId="9" applyFont="1" applyAlignment="1">
      <alignment horizontal="left"/>
    </xf>
    <xf numFmtId="165" fontId="35" fillId="0" borderId="2" xfId="1" applyNumberFormat="1" applyFont="1" applyFill="1" applyBorder="1"/>
    <xf numFmtId="0" fontId="35" fillId="0" borderId="0" xfId="0" applyFont="1"/>
    <xf numFmtId="165" fontId="1" fillId="0" borderId="5" xfId="1" applyNumberFormat="1" applyFill="1" applyBorder="1"/>
    <xf numFmtId="9" fontId="0" fillId="0" borderId="5" xfId="0" applyNumberFormat="1" applyBorder="1"/>
    <xf numFmtId="0" fontId="31" fillId="0" borderId="2" xfId="1" applyNumberFormat="1" applyFont="1" applyFill="1" applyBorder="1" applyAlignment="1" applyProtection="1">
      <alignment horizontal="right"/>
    </xf>
    <xf numFmtId="165" fontId="36" fillId="0" borderId="5" xfId="1" applyNumberFormat="1" applyFont="1" applyFill="1" applyBorder="1"/>
    <xf numFmtId="165" fontId="1" fillId="0" borderId="5" xfId="1" applyNumberFormat="1" applyFont="1" applyFill="1" applyBorder="1"/>
    <xf numFmtId="7" fontId="37" fillId="6" borderId="2" xfId="9" applyFont="1" applyFill="1" applyBorder="1"/>
    <xf numFmtId="7" fontId="29" fillId="6" borderId="0" xfId="9" applyFont="1" applyFill="1"/>
    <xf numFmtId="165" fontId="0" fillId="0" borderId="6" xfId="1" applyNumberFormat="1" applyFont="1" applyFill="1" applyBorder="1"/>
    <xf numFmtId="165" fontId="37" fillId="0" borderId="5" xfId="1" applyNumberFormat="1" applyFont="1" applyFill="1" applyBorder="1"/>
    <xf numFmtId="165" fontId="37" fillId="0" borderId="5" xfId="3" applyNumberFormat="1" applyFont="1" applyFill="1" applyBorder="1"/>
    <xf numFmtId="10" fontId="0" fillId="0" borderId="0" xfId="10" applyNumberFormat="1" applyFont="1"/>
    <xf numFmtId="165" fontId="0" fillId="0" borderId="8" xfId="1" applyNumberFormat="1" applyFont="1" applyBorder="1"/>
    <xf numFmtId="165" fontId="0" fillId="0" borderId="4" xfId="1" applyNumberFormat="1" applyFont="1" applyFill="1" applyBorder="1"/>
    <xf numFmtId="165" fontId="35" fillId="0" borderId="2" xfId="1" applyNumberFormat="1" applyFont="1" applyBorder="1"/>
    <xf numFmtId="167" fontId="35" fillId="0" borderId="5" xfId="0" applyNumberFormat="1" applyFont="1" applyBorder="1"/>
    <xf numFmtId="165" fontId="35" fillId="0" borderId="6" xfId="1" applyNumberFormat="1" applyFont="1" applyBorder="1"/>
    <xf numFmtId="9" fontId="0" fillId="0" borderId="1" xfId="10" applyFont="1" applyBorder="1"/>
    <xf numFmtId="170" fontId="32" fillId="0" borderId="5" xfId="1" applyNumberFormat="1" applyFont="1" applyBorder="1" applyProtection="1"/>
    <xf numFmtId="170" fontId="32" fillId="0" borderId="1" xfId="1" applyNumberFormat="1" applyFont="1" applyBorder="1" applyProtection="1"/>
    <xf numFmtId="170" fontId="32" fillId="0" borderId="5" xfId="1" applyNumberFormat="1" applyFont="1" applyFill="1" applyBorder="1" applyProtection="1"/>
    <xf numFmtId="43" fontId="32" fillId="0" borderId="5" xfId="1" applyFont="1" applyBorder="1"/>
    <xf numFmtId="43" fontId="32" fillId="0" borderId="1" xfId="1" applyFont="1" applyBorder="1"/>
    <xf numFmtId="43" fontId="32" fillId="0" borderId="5" xfId="1" applyFont="1" applyFill="1" applyBorder="1"/>
    <xf numFmtId="165" fontId="29" fillId="0" borderId="2" xfId="1" applyNumberFormat="1" applyFont="1" applyFill="1" applyBorder="1"/>
    <xf numFmtId="165" fontId="6" fillId="0" borderId="3" xfId="1" applyNumberFormat="1" applyFont="1" applyFill="1" applyBorder="1"/>
    <xf numFmtId="37" fontId="48" fillId="0" borderId="2" xfId="9" applyNumberFormat="1" applyFont="1" applyBorder="1" applyAlignment="1">
      <alignment horizontal="right"/>
    </xf>
    <xf numFmtId="43" fontId="0" fillId="0" borderId="0" xfId="0" applyNumberFormat="1"/>
    <xf numFmtId="165" fontId="38" fillId="0" borderId="5" xfId="3" applyNumberFormat="1" applyFont="1" applyFill="1" applyBorder="1"/>
    <xf numFmtId="165" fontId="1" fillId="0" borderId="2" xfId="1" applyNumberFormat="1" applyFill="1" applyBorder="1"/>
    <xf numFmtId="165" fontId="39" fillId="0" borderId="5" xfId="1" applyNumberFormat="1" applyFont="1" applyFill="1" applyBorder="1"/>
    <xf numFmtId="0" fontId="0" fillId="0" borderId="5" xfId="0" applyBorder="1" applyAlignment="1">
      <alignment horizontal="left"/>
    </xf>
    <xf numFmtId="165" fontId="6" fillId="0" borderId="4" xfId="1" applyNumberFormat="1" applyFont="1" applyFill="1" applyBorder="1"/>
    <xf numFmtId="165" fontId="6" fillId="0" borderId="6" xfId="1" applyNumberFormat="1" applyFont="1" applyFill="1" applyBorder="1" applyAlignment="1">
      <alignment horizontal="left"/>
    </xf>
    <xf numFmtId="165" fontId="29" fillId="0" borderId="8" xfId="1" applyNumberFormat="1" applyFont="1" applyFill="1" applyBorder="1"/>
    <xf numFmtId="165" fontId="40" fillId="0" borderId="5" xfId="3" applyNumberFormat="1" applyFont="1" applyFill="1" applyBorder="1"/>
    <xf numFmtId="10" fontId="10" fillId="0" borderId="0" xfId="10" applyNumberFormat="1" applyFont="1"/>
    <xf numFmtId="165" fontId="37" fillId="0" borderId="6" xfId="1" applyNumberFormat="1" applyFont="1" applyFill="1" applyBorder="1"/>
    <xf numFmtId="170" fontId="0" fillId="0" borderId="0" xfId="0" applyNumberFormat="1"/>
    <xf numFmtId="10" fontId="7" fillId="0" borderId="10" xfId="0" applyNumberFormat="1" applyFont="1" applyBorder="1"/>
    <xf numFmtId="0" fontId="0" fillId="0" borderId="0" xfId="0" applyAlignment="1">
      <alignment horizontal="left"/>
    </xf>
    <xf numFmtId="0" fontId="6" fillId="0" borderId="0" xfId="0" applyFont="1" applyAlignment="1">
      <alignment horizontal="left"/>
    </xf>
    <xf numFmtId="7" fontId="6" fillId="0" borderId="0" xfId="9" applyFont="1" applyAlignment="1">
      <alignment horizontal="left"/>
    </xf>
    <xf numFmtId="165" fontId="1" fillId="0" borderId="0" xfId="1" applyNumberFormat="1" applyFont="1"/>
    <xf numFmtId="165" fontId="10" fillId="0" borderId="0" xfId="9" applyNumberFormat="1"/>
    <xf numFmtId="165" fontId="10" fillId="0" borderId="7" xfId="9" applyNumberFormat="1" applyBorder="1"/>
    <xf numFmtId="9" fontId="10" fillId="0" borderId="0" xfId="10" applyFont="1"/>
    <xf numFmtId="16" fontId="6" fillId="0" borderId="0" xfId="0" quotePrefix="1" applyNumberFormat="1" applyFont="1" applyAlignment="1">
      <alignment horizontal="left"/>
    </xf>
    <xf numFmtId="165" fontId="10" fillId="0" borderId="0" xfId="1" applyNumberFormat="1" applyFont="1"/>
    <xf numFmtId="165" fontId="10" fillId="0" borderId="7" xfId="1" applyNumberFormat="1" applyFont="1" applyBorder="1"/>
    <xf numFmtId="9" fontId="49" fillId="0" borderId="0" xfId="9" applyNumberFormat="1" applyFont="1"/>
    <xf numFmtId="9" fontId="0" fillId="0" borderId="0" xfId="0" applyNumberFormat="1" applyAlignment="1">
      <alignment horizontal="left"/>
    </xf>
    <xf numFmtId="165" fontId="31" fillId="0" borderId="2" xfId="1" applyNumberFormat="1" applyFont="1" applyFill="1" applyBorder="1" applyAlignment="1" applyProtection="1">
      <alignment horizontal="right"/>
    </xf>
    <xf numFmtId="167" fontId="1" fillId="0" borderId="6" xfId="10" applyNumberFormat="1" applyFont="1" applyBorder="1"/>
    <xf numFmtId="165" fontId="1" fillId="0" borderId="8" xfId="1" applyNumberFormat="1" applyFont="1" applyBorder="1" applyProtection="1"/>
    <xf numFmtId="7" fontId="10" fillId="0" borderId="5" xfId="9" applyBorder="1"/>
    <xf numFmtId="165" fontId="6" fillId="0" borderId="8" xfId="1" applyNumberFormat="1" applyFont="1" applyFill="1" applyBorder="1"/>
    <xf numFmtId="165" fontId="6" fillId="0" borderId="8" xfId="1" applyNumberFormat="1" applyFont="1" applyBorder="1"/>
    <xf numFmtId="167" fontId="1" fillId="0" borderId="8" xfId="10" applyNumberFormat="1" applyFont="1" applyBorder="1"/>
    <xf numFmtId="165" fontId="1" fillId="0" borderId="6" xfId="1" applyNumberFormat="1" applyFont="1" applyBorder="1" applyProtection="1"/>
    <xf numFmtId="0" fontId="6" fillId="0" borderId="0" xfId="0" applyFont="1" applyAlignment="1">
      <alignment horizontal="right"/>
    </xf>
    <xf numFmtId="43" fontId="0" fillId="0" borderId="0" xfId="1" applyFont="1" applyFill="1"/>
    <xf numFmtId="43" fontId="6" fillId="0" borderId="0" xfId="0" applyNumberFormat="1" applyFont="1"/>
    <xf numFmtId="7" fontId="7" fillId="0" borderId="0" xfId="9" applyFont="1"/>
    <xf numFmtId="165" fontId="41" fillId="0" borderId="5" xfId="1" applyNumberFormat="1" applyFont="1" applyFill="1" applyBorder="1" applyAlignment="1">
      <alignment horizontal="right" vertical="center"/>
    </xf>
    <xf numFmtId="7" fontId="3" fillId="0" borderId="0" xfId="0" applyNumberFormat="1" applyFont="1"/>
    <xf numFmtId="165" fontId="6" fillId="0" borderId="2" xfId="1" applyNumberFormat="1" applyFont="1" applyBorder="1" applyAlignment="1">
      <alignment horizontal="right"/>
    </xf>
    <xf numFmtId="165" fontId="6" fillId="0" borderId="12" xfId="1" applyNumberFormat="1" applyFont="1" applyBorder="1" applyAlignment="1">
      <alignment horizontal="right"/>
    </xf>
    <xf numFmtId="41" fontId="6" fillId="0" borderId="6" xfId="0" applyNumberFormat="1" applyFont="1" applyBorder="1"/>
    <xf numFmtId="165" fontId="8" fillId="0" borderId="5" xfId="1" applyNumberFormat="1" applyFont="1" applyBorder="1"/>
    <xf numFmtId="165" fontId="35" fillId="0" borderId="5" xfId="1" applyNumberFormat="1" applyFont="1" applyFill="1" applyBorder="1"/>
    <xf numFmtId="165" fontId="29" fillId="0" borderId="5" xfId="1" applyNumberFormat="1" applyFont="1" applyBorder="1" applyProtection="1"/>
    <xf numFmtId="167" fontId="29" fillId="0" borderId="5" xfId="10" applyNumberFormat="1" applyFont="1" applyBorder="1"/>
    <xf numFmtId="165" fontId="10" fillId="0" borderId="0" xfId="1" applyNumberFormat="1" applyFont="1" applyBorder="1"/>
    <xf numFmtId="167" fontId="1" fillId="0" borderId="1" xfId="10" applyNumberFormat="1" applyFont="1" applyFill="1" applyBorder="1"/>
    <xf numFmtId="165" fontId="1" fillId="0" borderId="5" xfId="1" applyNumberFormat="1" applyFont="1" applyFill="1" applyBorder="1" applyProtection="1"/>
    <xf numFmtId="10" fontId="0" fillId="0" borderId="0" xfId="10" applyNumberFormat="1" applyFont="1" applyFill="1"/>
    <xf numFmtId="7" fontId="10" fillId="7" borderId="0" xfId="9" applyFill="1"/>
    <xf numFmtId="168" fontId="0" fillId="0" borderId="0" xfId="0" applyNumberFormat="1"/>
    <xf numFmtId="9" fontId="32" fillId="0" borderId="0" xfId="10" applyFont="1"/>
    <xf numFmtId="10" fontId="32" fillId="0" borderId="0" xfId="10" applyNumberFormat="1" applyFont="1"/>
    <xf numFmtId="171" fontId="32" fillId="0" borderId="0" xfId="10" applyNumberFormat="1" applyFont="1"/>
    <xf numFmtId="171" fontId="32" fillId="0" borderId="0" xfId="10" applyNumberFormat="1" applyFont="1" applyFill="1"/>
    <xf numFmtId="164" fontId="6" fillId="0" borderId="5" xfId="5" applyNumberFormat="1" applyFont="1" applyFill="1" applyBorder="1"/>
    <xf numFmtId="165" fontId="6" fillId="0" borderId="5" xfId="0" applyNumberFormat="1" applyFont="1" applyBorder="1"/>
    <xf numFmtId="167" fontId="1" fillId="0" borderId="8" xfId="10" applyNumberFormat="1" applyFont="1" applyBorder="1" applyProtection="1"/>
    <xf numFmtId="41" fontId="6" fillId="0" borderId="1" xfId="0" applyNumberFormat="1" applyFont="1" applyBorder="1"/>
    <xf numFmtId="41" fontId="0" fillId="0" borderId="12" xfId="0" applyNumberFormat="1" applyBorder="1"/>
    <xf numFmtId="41" fontId="6" fillId="0" borderId="12" xfId="0" applyNumberFormat="1" applyFont="1" applyBorder="1"/>
    <xf numFmtId="41" fontId="0" fillId="0" borderId="6" xfId="0" applyNumberFormat="1" applyBorder="1"/>
    <xf numFmtId="165" fontId="0" fillId="0" borderId="6" xfId="0" applyNumberFormat="1" applyBorder="1"/>
    <xf numFmtId="43" fontId="32" fillId="0" borderId="0" xfId="1" applyFont="1" applyAlignment="1" applyProtection="1">
      <alignment horizontal="right"/>
    </xf>
    <xf numFmtId="43" fontId="32" fillId="0" borderId="0" xfId="1" applyFont="1" applyAlignment="1">
      <alignment horizontal="right"/>
    </xf>
    <xf numFmtId="165" fontId="6" fillId="0" borderId="7" xfId="1" applyNumberFormat="1" applyFont="1" applyFill="1" applyBorder="1"/>
    <xf numFmtId="165" fontId="0" fillId="0" borderId="4" xfId="1" applyNumberFormat="1" applyFont="1" applyBorder="1"/>
    <xf numFmtId="165" fontId="0" fillId="0" borderId="4" xfId="0" applyNumberFormat="1" applyBorder="1"/>
    <xf numFmtId="37" fontId="6" fillId="0" borderId="0" xfId="0" applyNumberFormat="1" applyFont="1" applyAlignment="1">
      <alignment horizontal="center"/>
    </xf>
    <xf numFmtId="167" fontId="10" fillId="0" borderId="0" xfId="10" applyNumberFormat="1" applyFont="1"/>
    <xf numFmtId="167" fontId="1" fillId="0" borderId="0" xfId="10" applyNumberFormat="1" applyFont="1"/>
    <xf numFmtId="165" fontId="37" fillId="0" borderId="6" xfId="3" applyNumberFormat="1" applyFont="1" applyFill="1" applyBorder="1"/>
    <xf numFmtId="10" fontId="1" fillId="0" borderId="0" xfId="10" applyNumberFormat="1" applyFont="1"/>
    <xf numFmtId="165" fontId="46" fillId="0" borderId="2" xfId="1" applyNumberFormat="1" applyFont="1" applyFill="1" applyBorder="1"/>
    <xf numFmtId="165" fontId="1" fillId="0" borderId="0" xfId="1" applyNumberFormat="1" applyFont="1" applyBorder="1" applyProtection="1"/>
    <xf numFmtId="167" fontId="1" fillId="0" borderId="0" xfId="10" applyNumberFormat="1" applyFont="1" applyBorder="1"/>
    <xf numFmtId="10" fontId="1" fillId="0" borderId="0" xfId="10" applyNumberFormat="1" applyFont="1" applyBorder="1"/>
    <xf numFmtId="37" fontId="6" fillId="0" borderId="14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4" xfId="0" applyFont="1" applyBorder="1"/>
    <xf numFmtId="37" fontId="32" fillId="0" borderId="14" xfId="0" applyNumberFormat="1" applyFont="1" applyBorder="1"/>
    <xf numFmtId="9" fontId="32" fillId="0" borderId="14" xfId="10" applyFont="1" applyBorder="1"/>
    <xf numFmtId="165" fontId="1" fillId="0" borderId="14" xfId="1" applyNumberFormat="1" applyFont="1" applyBorder="1" applyProtection="1"/>
    <xf numFmtId="167" fontId="1" fillId="0" borderId="14" xfId="10" applyNumberFormat="1" applyFont="1" applyBorder="1"/>
    <xf numFmtId="7" fontId="3" fillId="0" borderId="0" xfId="9" applyFont="1" applyAlignment="1">
      <alignment horizontal="center" vertical="center"/>
    </xf>
    <xf numFmtId="7" fontId="7" fillId="0" borderId="3" xfId="9" applyFont="1" applyBorder="1" applyAlignment="1">
      <alignment horizontal="center" vertical="center"/>
    </xf>
    <xf numFmtId="7" fontId="7" fillId="0" borderId="24" xfId="9" applyFont="1" applyBorder="1" applyAlignment="1">
      <alignment horizontal="center" vertical="center"/>
    </xf>
    <xf numFmtId="7" fontId="7" fillId="0" borderId="9" xfId="9" applyFont="1" applyBorder="1" applyAlignment="1">
      <alignment horizontal="center" vertical="center"/>
    </xf>
    <xf numFmtId="7" fontId="7" fillId="0" borderId="4" xfId="9" applyFont="1" applyBorder="1" applyAlignment="1">
      <alignment horizontal="center" vertical="center"/>
    </xf>
    <xf numFmtId="7" fontId="7" fillId="0" borderId="7" xfId="9" applyFont="1" applyBorder="1" applyAlignment="1">
      <alignment horizontal="center" vertical="center"/>
    </xf>
    <xf numFmtId="7" fontId="7" fillId="0" borderId="12" xfId="9" applyFont="1" applyBorder="1" applyAlignment="1">
      <alignment horizontal="center" vertical="center"/>
    </xf>
    <xf numFmtId="2" fontId="5" fillId="0" borderId="14" xfId="0" applyNumberFormat="1" applyFont="1" applyBorder="1" applyAlignment="1">
      <alignment horizontal="center" vertical="center" wrapText="1"/>
    </xf>
    <xf numFmtId="37" fontId="5" fillId="0" borderId="14" xfId="0" applyNumberFormat="1" applyFont="1" applyBorder="1" applyAlignment="1">
      <alignment horizontal="center" vertical="center" wrapText="1"/>
    </xf>
    <xf numFmtId="37" fontId="5" fillId="0" borderId="14" xfId="0" applyNumberFormat="1" applyFont="1" applyBorder="1" applyAlignment="1">
      <alignment horizontal="center" vertical="center"/>
    </xf>
    <xf numFmtId="2" fontId="5" fillId="0" borderId="17" xfId="0" applyNumberFormat="1" applyFont="1" applyBorder="1" applyAlignment="1">
      <alignment horizontal="center" vertical="center" wrapText="1"/>
    </xf>
    <xf numFmtId="0" fontId="7" fillId="0" borderId="7" xfId="0" quotePrefix="1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</cellXfs>
  <cellStyles count="14">
    <cellStyle name="Comma" xfId="1" builtinId="3"/>
    <cellStyle name="Comma 2" xfId="2" xr:uid="{00000000-0005-0000-0000-000001000000}"/>
    <cellStyle name="Comma 2 2" xfId="3" xr:uid="{00000000-0005-0000-0000-000002000000}"/>
    <cellStyle name="Comma 3" xfId="4" xr:uid="{00000000-0005-0000-0000-000003000000}"/>
    <cellStyle name="Currency" xfId="5" builtinId="4"/>
    <cellStyle name="Currency 2" xfId="6" xr:uid="{00000000-0005-0000-0000-000005000000}"/>
    <cellStyle name="Currency 2 2" xfId="7" xr:uid="{00000000-0005-0000-0000-000006000000}"/>
    <cellStyle name="Currency 3" xfId="8" xr:uid="{00000000-0005-0000-0000-000007000000}"/>
    <cellStyle name="Normal" xfId="0" builtinId="0"/>
    <cellStyle name="Normal_INC99" xfId="9" xr:uid="{00000000-0005-0000-0000-000009000000}"/>
    <cellStyle name="Percent" xfId="10" builtinId="5"/>
    <cellStyle name="Percent 2" xfId="11" xr:uid="{00000000-0005-0000-0000-00000B000000}"/>
    <cellStyle name="Percent 2 2" xfId="12" xr:uid="{00000000-0005-0000-0000-00000C000000}"/>
    <cellStyle name="Percent 3" xfId="13" xr:uid="{00000000-0005-0000-0000-00000D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Relationship Id="rId35" Type="http://schemas.openxmlformats.org/officeDocument/2006/relationships/customXml" Target="../customXml/item3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 codeName="Sheet1"/>
  <dimension ref="A1:Z62"/>
  <sheetViews>
    <sheetView showGridLines="0" tabSelected="1" zoomScaleNormal="100" workbookViewId="0">
      <selection activeCell="I45" sqref="I45"/>
    </sheetView>
  </sheetViews>
  <sheetFormatPr defaultColWidth="11" defaultRowHeight="12" x14ac:dyDescent="0.15"/>
  <cols>
    <col min="1" max="1" width="7.42578125" style="19" customWidth="1"/>
    <col min="2" max="2" width="25" style="19" customWidth="1"/>
    <col min="3" max="3" width="5.5703125" style="94" customWidth="1"/>
    <col min="4" max="6" width="12.7109375" style="19" customWidth="1"/>
    <col min="7" max="7" width="11.42578125" style="19" customWidth="1"/>
    <col min="8" max="8" width="16.7109375" style="19" customWidth="1"/>
    <col min="9" max="9" width="14.7109375" style="19" bestFit="1" customWidth="1"/>
    <col min="10" max="10" width="12.42578125" style="19" bestFit="1" customWidth="1"/>
    <col min="11" max="12" width="12.85546875" style="19" customWidth="1"/>
    <col min="13" max="17" width="11" style="19"/>
    <col min="18" max="19" width="17.28515625" style="19" bestFit="1" customWidth="1"/>
    <col min="20" max="20" width="14.7109375" style="19" bestFit="1" customWidth="1"/>
    <col min="21" max="21" width="17.28515625" style="19" bestFit="1" customWidth="1"/>
    <col min="22" max="23" width="11" style="19"/>
    <col min="24" max="24" width="18.28515625" style="19" customWidth="1"/>
    <col min="25" max="25" width="17.28515625" style="19" bestFit="1" customWidth="1"/>
    <col min="26" max="16384" width="11" style="19"/>
  </cols>
  <sheetData>
    <row r="1" spans="1:26" ht="15.75" x14ac:dyDescent="0.25">
      <c r="A1" s="100"/>
      <c r="E1" s="20"/>
      <c r="F1" s="20"/>
      <c r="G1" s="20"/>
      <c r="H1" s="20"/>
    </row>
    <row r="2" spans="1:26" ht="12.75" x14ac:dyDescent="0.2">
      <c r="H2" s="21"/>
    </row>
    <row r="3" spans="1:26" ht="15.75" x14ac:dyDescent="0.2">
      <c r="A3" s="406" t="s">
        <v>487</v>
      </c>
      <c r="B3" s="406"/>
      <c r="C3" s="406"/>
      <c r="D3" s="406"/>
      <c r="E3" s="406"/>
      <c r="F3" s="406"/>
      <c r="G3" s="406"/>
      <c r="H3" s="20"/>
    </row>
    <row r="4" spans="1:26" ht="12.75" x14ac:dyDescent="0.2">
      <c r="A4" s="357" t="s">
        <v>433</v>
      </c>
      <c r="B4" s="20"/>
      <c r="C4" s="95"/>
      <c r="D4" s="20"/>
      <c r="E4" s="20"/>
      <c r="F4" s="20"/>
      <c r="G4" s="20"/>
      <c r="H4" s="20"/>
    </row>
    <row r="5" spans="1:26" ht="15" x14ac:dyDescent="0.25">
      <c r="A5" s="407" t="s">
        <v>63</v>
      </c>
      <c r="B5" s="408"/>
      <c r="C5" s="409"/>
      <c r="D5" s="63">
        <v>2025</v>
      </c>
      <c r="E5" s="282">
        <v>2026</v>
      </c>
      <c r="F5" s="4" t="s">
        <v>44</v>
      </c>
      <c r="G5" s="57" t="s">
        <v>44</v>
      </c>
      <c r="H5" s="20"/>
      <c r="I5" s="4">
        <v>2024</v>
      </c>
      <c r="J5" s="63">
        <v>2024</v>
      </c>
      <c r="K5" s="4" t="s">
        <v>44</v>
      </c>
      <c r="L5" s="57" t="s">
        <v>44</v>
      </c>
    </row>
    <row r="6" spans="1:26" ht="15" x14ac:dyDescent="0.25">
      <c r="A6" s="410"/>
      <c r="B6" s="411"/>
      <c r="C6" s="412"/>
      <c r="D6" s="46" t="s">
        <v>43</v>
      </c>
      <c r="E6" s="283" t="s">
        <v>120</v>
      </c>
      <c r="F6" s="46" t="s">
        <v>45</v>
      </c>
      <c r="G6" s="46" t="s">
        <v>46</v>
      </c>
      <c r="H6" s="20"/>
      <c r="I6" s="5" t="s">
        <v>120</v>
      </c>
      <c r="J6" s="46" t="s">
        <v>529</v>
      </c>
      <c r="K6" s="46" t="s">
        <v>45</v>
      </c>
      <c r="L6" s="46" t="s">
        <v>46</v>
      </c>
      <c r="P6" s="19" t="s">
        <v>498</v>
      </c>
      <c r="T6" s="19" t="s">
        <v>526</v>
      </c>
      <c r="X6" s="19" t="s">
        <v>434</v>
      </c>
    </row>
    <row r="7" spans="1:26" ht="12.75" x14ac:dyDescent="0.2">
      <c r="A7" s="164" t="s">
        <v>18</v>
      </c>
      <c r="B7" s="165"/>
      <c r="C7" s="95"/>
      <c r="D7" s="67" t="s">
        <v>0</v>
      </c>
      <c r="E7" s="67" t="s">
        <v>0</v>
      </c>
      <c r="F7" s="67"/>
      <c r="G7" s="96"/>
      <c r="H7" s="337"/>
      <c r="I7" s="67" t="s">
        <v>0</v>
      </c>
      <c r="J7" s="67" t="s">
        <v>0</v>
      </c>
      <c r="K7" s="67"/>
      <c r="L7" s="96"/>
      <c r="X7" s="344">
        <v>0.99</v>
      </c>
    </row>
    <row r="8" spans="1:26" ht="12.75" x14ac:dyDescent="0.2">
      <c r="A8" s="346">
        <f>2840-355</f>
        <v>2485</v>
      </c>
      <c r="B8" s="336" t="s">
        <v>349</v>
      </c>
      <c r="C8" s="276">
        <v>445</v>
      </c>
      <c r="D8" s="33">
        <v>1221875</v>
      </c>
      <c r="E8" s="108">
        <f>A8*C8</f>
        <v>1105825</v>
      </c>
      <c r="F8" s="122">
        <f>E8-D8</f>
        <v>-116050</v>
      </c>
      <c r="G8" s="97">
        <f>(F8/D8)</f>
        <v>-9.4976982097186705E-2</v>
      </c>
      <c r="I8" s="108">
        <v>1139688</v>
      </c>
      <c r="J8" s="108">
        <f>R8+164.13</f>
        <v>1130744.1299999999</v>
      </c>
      <c r="K8" s="122">
        <f>J8-I8</f>
        <v>-8943.8700000001118</v>
      </c>
      <c r="L8" s="97">
        <f>(K8/I8)</f>
        <v>-7.8476477772865139E-3</v>
      </c>
      <c r="O8" s="19">
        <v>396</v>
      </c>
      <c r="P8" s="334" t="s">
        <v>334</v>
      </c>
      <c r="Q8" s="38">
        <v>2855</v>
      </c>
      <c r="R8" s="19">
        <f t="shared" ref="R8:R14" si="0">Q8*O8</f>
        <v>1130580</v>
      </c>
      <c r="T8" s="338">
        <v>2652</v>
      </c>
      <c r="U8" s="19">
        <f t="shared" ref="U8:U14" si="1">T8*O8</f>
        <v>1050192</v>
      </c>
      <c r="X8" s="342">
        <v>2875</v>
      </c>
      <c r="Y8" s="19">
        <f t="shared" ref="Y8:Y14" si="2">X8*O8</f>
        <v>1138500</v>
      </c>
      <c r="Z8" s="334" t="s">
        <v>334</v>
      </c>
    </row>
    <row r="9" spans="1:26" ht="12.75" x14ac:dyDescent="0.2">
      <c r="A9" s="346">
        <v>280</v>
      </c>
      <c r="B9" s="292" t="s">
        <v>306</v>
      </c>
      <c r="C9" s="277">
        <v>0</v>
      </c>
      <c r="D9" s="33">
        <v>0</v>
      </c>
      <c r="E9" s="108">
        <f t="shared" ref="E9:E19" si="3">A9*C9</f>
        <v>0</v>
      </c>
      <c r="F9" s="122">
        <v>0</v>
      </c>
      <c r="G9" s="97"/>
      <c r="I9" s="108">
        <v>0</v>
      </c>
      <c r="J9" s="108">
        <v>0</v>
      </c>
      <c r="K9" s="122">
        <v>0</v>
      </c>
      <c r="L9" s="97"/>
      <c r="O9" s="371">
        <v>198</v>
      </c>
      <c r="P9" s="334" t="s">
        <v>335</v>
      </c>
      <c r="Q9" s="38">
        <v>100</v>
      </c>
      <c r="R9" s="19">
        <f t="shared" si="0"/>
        <v>19800</v>
      </c>
      <c r="T9" s="338">
        <v>19</v>
      </c>
      <c r="U9" s="19">
        <f t="shared" si="1"/>
        <v>3762</v>
      </c>
      <c r="X9" s="342">
        <v>50</v>
      </c>
      <c r="Y9" s="19">
        <f t="shared" si="2"/>
        <v>9900</v>
      </c>
      <c r="Z9" s="334" t="s">
        <v>335</v>
      </c>
    </row>
    <row r="10" spans="1:26" ht="12.75" x14ac:dyDescent="0.2">
      <c r="A10" s="346">
        <v>265</v>
      </c>
      <c r="B10" s="292" t="s">
        <v>305</v>
      </c>
      <c r="C10" s="95">
        <v>0</v>
      </c>
      <c r="D10" s="123">
        <v>0</v>
      </c>
      <c r="E10" s="108">
        <f t="shared" si="3"/>
        <v>0</v>
      </c>
      <c r="F10" s="122">
        <f t="shared" ref="F10:F17" si="4">E10-D10</f>
        <v>0</v>
      </c>
      <c r="G10" s="97"/>
      <c r="I10" s="108">
        <v>0</v>
      </c>
      <c r="J10" s="108">
        <v>0</v>
      </c>
      <c r="K10" s="122">
        <f t="shared" ref="K10:K17" si="5">J10-I10</f>
        <v>0</v>
      </c>
      <c r="L10" s="97"/>
      <c r="O10" s="19">
        <v>0</v>
      </c>
      <c r="P10" s="334" t="s">
        <v>347</v>
      </c>
      <c r="Q10" s="38">
        <v>63</v>
      </c>
      <c r="R10" s="19">
        <f t="shared" si="0"/>
        <v>0</v>
      </c>
      <c r="T10" s="338">
        <v>17</v>
      </c>
      <c r="U10" s="19">
        <f t="shared" si="1"/>
        <v>0</v>
      </c>
      <c r="X10" s="342">
        <v>80</v>
      </c>
      <c r="Y10" s="19">
        <f t="shared" si="2"/>
        <v>0</v>
      </c>
      <c r="Z10" s="334" t="s">
        <v>347</v>
      </c>
    </row>
    <row r="11" spans="1:26" ht="12.75" x14ac:dyDescent="0.2">
      <c r="A11" s="346">
        <v>0</v>
      </c>
      <c r="B11" s="336" t="s">
        <v>360</v>
      </c>
      <c r="C11" s="277">
        <f>C8/2</f>
        <v>222.5</v>
      </c>
      <c r="D11" s="33">
        <v>26562.5</v>
      </c>
      <c r="E11" s="108">
        <f t="shared" si="3"/>
        <v>0</v>
      </c>
      <c r="F11" s="122">
        <f t="shared" si="4"/>
        <v>-26562.5</v>
      </c>
      <c r="G11" s="97">
        <f>(F11/D11)</f>
        <v>-1</v>
      </c>
      <c r="I11" s="108">
        <v>24750</v>
      </c>
      <c r="J11" s="108">
        <f>R18</f>
        <v>27720</v>
      </c>
      <c r="K11" s="122">
        <f t="shared" si="5"/>
        <v>2970</v>
      </c>
      <c r="L11" s="97">
        <f>(K11/I11)</f>
        <v>0.12</v>
      </c>
      <c r="O11" s="19">
        <v>0</v>
      </c>
      <c r="P11" s="341" t="s">
        <v>346</v>
      </c>
      <c r="Q11" s="38">
        <v>194</v>
      </c>
      <c r="R11" s="19">
        <f t="shared" si="0"/>
        <v>0</v>
      </c>
      <c r="T11" s="338">
        <v>17</v>
      </c>
      <c r="U11" s="19">
        <f t="shared" si="1"/>
        <v>0</v>
      </c>
      <c r="X11" s="342">
        <v>200</v>
      </c>
      <c r="Y11" s="19">
        <f t="shared" si="2"/>
        <v>0</v>
      </c>
      <c r="Z11" s="341" t="s">
        <v>346</v>
      </c>
    </row>
    <row r="12" spans="1:26" ht="12.75" x14ac:dyDescent="0.2">
      <c r="A12" s="346">
        <v>510</v>
      </c>
      <c r="B12" s="336" t="s">
        <v>527</v>
      </c>
      <c r="C12" s="277">
        <f>C8/4</f>
        <v>111.25</v>
      </c>
      <c r="D12" s="33">
        <v>0</v>
      </c>
      <c r="E12" s="108">
        <f t="shared" si="3"/>
        <v>56737.5</v>
      </c>
      <c r="F12" s="122">
        <f t="shared" ref="F12" si="6">E12-D12</f>
        <v>56737.5</v>
      </c>
      <c r="G12" s="97">
        <v>0</v>
      </c>
      <c r="I12" s="108">
        <v>0</v>
      </c>
      <c r="J12" s="108">
        <v>0</v>
      </c>
      <c r="K12" s="122">
        <f t="shared" si="5"/>
        <v>0</v>
      </c>
      <c r="L12" s="97">
        <v>0</v>
      </c>
      <c r="P12" s="341"/>
      <c r="Q12" s="38"/>
      <c r="T12" s="338"/>
      <c r="X12" s="342"/>
      <c r="Z12" s="341"/>
    </row>
    <row r="13" spans="1:26" ht="12.75" x14ac:dyDescent="0.2">
      <c r="A13" s="346">
        <v>950</v>
      </c>
      <c r="B13" s="275" t="s">
        <v>139</v>
      </c>
      <c r="C13" s="277">
        <f>C8</f>
        <v>445</v>
      </c>
      <c r="D13" s="33">
        <v>426360</v>
      </c>
      <c r="E13" s="108">
        <f t="shared" si="3"/>
        <v>422750</v>
      </c>
      <c r="F13" s="122">
        <f t="shared" si="4"/>
        <v>-3610</v>
      </c>
      <c r="G13" s="97">
        <f>(F13/D13)</f>
        <v>-8.4670231729055256E-3</v>
      </c>
      <c r="I13" s="108">
        <v>437580</v>
      </c>
      <c r="J13" s="108">
        <f>R22</f>
        <v>415800</v>
      </c>
      <c r="K13" s="122">
        <f t="shared" si="5"/>
        <v>-21780</v>
      </c>
      <c r="L13" s="97">
        <f>(K13/I13)</f>
        <v>-4.9773755656108594E-2</v>
      </c>
      <c r="O13" s="19">
        <v>50</v>
      </c>
      <c r="P13" s="334" t="s">
        <v>336</v>
      </c>
      <c r="Q13" s="38">
        <v>28</v>
      </c>
      <c r="R13" s="19">
        <f t="shared" si="0"/>
        <v>1400</v>
      </c>
      <c r="T13" s="338">
        <v>22</v>
      </c>
      <c r="U13" s="19">
        <f t="shared" si="1"/>
        <v>1100</v>
      </c>
      <c r="X13" s="342">
        <v>30</v>
      </c>
      <c r="Y13" s="19">
        <f t="shared" si="2"/>
        <v>1500</v>
      </c>
      <c r="Z13" s="334" t="s">
        <v>336</v>
      </c>
    </row>
    <row r="14" spans="1:26" ht="12.75" x14ac:dyDescent="0.2">
      <c r="A14" s="346">
        <v>54</v>
      </c>
      <c r="B14" s="336" t="s">
        <v>393</v>
      </c>
      <c r="C14" s="277">
        <v>0</v>
      </c>
      <c r="D14" s="33">
        <v>0</v>
      </c>
      <c r="E14" s="108">
        <f t="shared" si="3"/>
        <v>0</v>
      </c>
      <c r="F14" s="122">
        <f t="shared" si="4"/>
        <v>0</v>
      </c>
      <c r="G14" s="97"/>
      <c r="I14" s="108">
        <v>0</v>
      </c>
      <c r="J14" s="108">
        <v>0</v>
      </c>
      <c r="K14" s="122">
        <f t="shared" si="5"/>
        <v>0</v>
      </c>
      <c r="L14" s="97"/>
      <c r="O14" s="19">
        <v>0</v>
      </c>
      <c r="P14" s="334" t="s">
        <v>337</v>
      </c>
      <c r="Q14" s="38">
        <v>14</v>
      </c>
      <c r="R14" s="19">
        <f t="shared" si="0"/>
        <v>0</v>
      </c>
      <c r="T14" s="338">
        <v>0</v>
      </c>
      <c r="U14" s="19">
        <f t="shared" si="1"/>
        <v>0</v>
      </c>
      <c r="X14" s="342">
        <v>50</v>
      </c>
      <c r="Y14" s="19">
        <f t="shared" si="2"/>
        <v>0</v>
      </c>
      <c r="Z14" s="334" t="s">
        <v>337</v>
      </c>
    </row>
    <row r="15" spans="1:26" ht="12.75" x14ac:dyDescent="0.2">
      <c r="A15" s="346">
        <v>80</v>
      </c>
      <c r="B15" s="336" t="s">
        <v>350</v>
      </c>
      <c r="C15" s="277">
        <f>+$C$8*0.5</f>
        <v>222.5</v>
      </c>
      <c r="D15" s="33">
        <v>10625</v>
      </c>
      <c r="E15" s="108">
        <f>A15*C15</f>
        <v>17800</v>
      </c>
      <c r="F15" s="122">
        <f t="shared" si="4"/>
        <v>7175</v>
      </c>
      <c r="G15" s="97">
        <f>(F15/D15)</f>
        <v>0.67529411764705882</v>
      </c>
      <c r="I15" s="108">
        <v>2970</v>
      </c>
      <c r="J15" s="108">
        <f>R9+R21</f>
        <v>31284</v>
      </c>
      <c r="K15" s="122">
        <f t="shared" si="5"/>
        <v>28314</v>
      </c>
      <c r="L15" s="97">
        <f>(K15/I15)</f>
        <v>9.5333333333333332</v>
      </c>
      <c r="P15" s="334"/>
      <c r="Q15" s="38"/>
      <c r="T15" s="338"/>
      <c r="X15" s="342"/>
      <c r="Z15" s="334"/>
    </row>
    <row r="16" spans="1:26" ht="12.75" x14ac:dyDescent="0.2">
      <c r="A16" s="346">
        <v>30</v>
      </c>
      <c r="B16" s="275" t="s">
        <v>140</v>
      </c>
      <c r="C16" s="278">
        <v>50</v>
      </c>
      <c r="D16" s="33">
        <v>1750</v>
      </c>
      <c r="E16" s="108">
        <f>A16*C16</f>
        <v>1500</v>
      </c>
      <c r="F16" s="122">
        <f t="shared" si="4"/>
        <v>-250</v>
      </c>
      <c r="G16" s="97">
        <f>(F16/D16)</f>
        <v>-0.14285714285714285</v>
      </c>
      <c r="I16" s="108">
        <v>1750</v>
      </c>
      <c r="J16" s="108">
        <f>R13</f>
        <v>1400</v>
      </c>
      <c r="K16" s="122">
        <f t="shared" si="5"/>
        <v>-350</v>
      </c>
      <c r="L16" s="97">
        <f>(K16/I16)</f>
        <v>-0.2</v>
      </c>
      <c r="O16" s="19">
        <v>0</v>
      </c>
      <c r="P16" s="334" t="s">
        <v>338</v>
      </c>
      <c r="Q16" s="38">
        <v>274</v>
      </c>
      <c r="R16" s="19">
        <f t="shared" ref="R16:R25" si="7">Q16*O16</f>
        <v>0</v>
      </c>
      <c r="T16" s="338">
        <v>241</v>
      </c>
      <c r="U16" s="19">
        <f t="shared" ref="U16:U25" si="8">T16*O16</f>
        <v>0</v>
      </c>
      <c r="X16" s="342">
        <v>265</v>
      </c>
      <c r="Y16" s="19">
        <f t="shared" ref="Y16:Y25" si="9">X16*O16</f>
        <v>0</v>
      </c>
      <c r="Z16" s="345">
        <v>0</v>
      </c>
    </row>
    <row r="17" spans="1:26" ht="12.75" x14ac:dyDescent="0.2">
      <c r="A17" s="346">
        <v>1690</v>
      </c>
      <c r="B17" s="275" t="s">
        <v>141</v>
      </c>
      <c r="C17" s="95">
        <v>0</v>
      </c>
      <c r="D17" s="33">
        <v>0</v>
      </c>
      <c r="E17" s="108">
        <f t="shared" si="3"/>
        <v>0</v>
      </c>
      <c r="F17" s="122">
        <f t="shared" si="4"/>
        <v>0</v>
      </c>
      <c r="G17" s="97"/>
      <c r="I17" s="108">
        <v>0</v>
      </c>
      <c r="J17" s="108">
        <v>0</v>
      </c>
      <c r="K17" s="122">
        <f t="shared" si="5"/>
        <v>0</v>
      </c>
      <c r="L17" s="97"/>
      <c r="O17" s="19">
        <v>99</v>
      </c>
      <c r="P17" s="334" t="s">
        <v>339</v>
      </c>
      <c r="Q17" s="38">
        <v>0</v>
      </c>
      <c r="R17" s="19">
        <f t="shared" si="7"/>
        <v>0</v>
      </c>
      <c r="T17" s="338">
        <v>0</v>
      </c>
      <c r="U17" s="19">
        <f t="shared" si="8"/>
        <v>0</v>
      </c>
      <c r="W17" s="340"/>
      <c r="X17" s="342">
        <f>T17*1.02</f>
        <v>0</v>
      </c>
      <c r="Y17" s="19">
        <f t="shared" si="9"/>
        <v>0</v>
      </c>
      <c r="Z17" s="345">
        <v>0.5</v>
      </c>
    </row>
    <row r="18" spans="1:26" ht="12.75" x14ac:dyDescent="0.2">
      <c r="A18" s="346">
        <v>10</v>
      </c>
      <c r="B18" s="336" t="s">
        <v>183</v>
      </c>
      <c r="C18" s="277">
        <f>+$C$8*0.5</f>
        <v>222.5</v>
      </c>
      <c r="D18" s="33">
        <v>2125</v>
      </c>
      <c r="E18" s="108">
        <f>A18*C18</f>
        <v>2225</v>
      </c>
      <c r="F18" s="122">
        <f>E18-D18</f>
        <v>100</v>
      </c>
      <c r="G18" s="97">
        <f>(F18/D18)</f>
        <v>4.7058823529411764E-2</v>
      </c>
      <c r="I18" s="108">
        <v>1980</v>
      </c>
      <c r="J18" s="108">
        <f>R24</f>
        <v>1584</v>
      </c>
      <c r="K18" s="122">
        <f>J18-I18</f>
        <v>-396</v>
      </c>
      <c r="L18" s="97">
        <f>(K18/I18)</f>
        <v>-0.2</v>
      </c>
      <c r="O18" s="371">
        <v>198</v>
      </c>
      <c r="P18" s="334" t="s">
        <v>340</v>
      </c>
      <c r="Q18" s="38">
        <v>140</v>
      </c>
      <c r="R18" s="19">
        <f t="shared" si="7"/>
        <v>27720</v>
      </c>
      <c r="T18" s="338">
        <v>105</v>
      </c>
      <c r="U18" s="19">
        <f t="shared" si="8"/>
        <v>20790</v>
      </c>
      <c r="W18" s="340"/>
      <c r="X18" s="342">
        <v>125</v>
      </c>
      <c r="Y18" s="19">
        <f t="shared" si="9"/>
        <v>24750</v>
      </c>
      <c r="Z18" s="334"/>
    </row>
    <row r="19" spans="1:26" ht="12.75" x14ac:dyDescent="0.2">
      <c r="A19" s="346">
        <v>50</v>
      </c>
      <c r="B19" s="275" t="s">
        <v>165</v>
      </c>
      <c r="C19" s="277">
        <v>0</v>
      </c>
      <c r="D19" s="33">
        <v>0</v>
      </c>
      <c r="E19" s="108">
        <f t="shared" si="3"/>
        <v>0</v>
      </c>
      <c r="F19" s="122">
        <f>E19-D19</f>
        <v>0</v>
      </c>
      <c r="G19" s="97"/>
      <c r="I19" s="108">
        <v>0</v>
      </c>
      <c r="J19" s="108">
        <v>0</v>
      </c>
      <c r="K19" s="122">
        <f>J19-I19</f>
        <v>0</v>
      </c>
      <c r="L19" s="97"/>
      <c r="O19" s="19">
        <v>297</v>
      </c>
      <c r="P19" s="334" t="s">
        <v>341</v>
      </c>
      <c r="Q19" s="38">
        <v>0</v>
      </c>
      <c r="R19" s="19">
        <f t="shared" si="7"/>
        <v>0</v>
      </c>
      <c r="T19" s="338">
        <v>0</v>
      </c>
      <c r="U19" s="19">
        <f t="shared" si="8"/>
        <v>0</v>
      </c>
      <c r="W19" s="340"/>
      <c r="X19" s="342">
        <f>T19*1.02</f>
        <v>0</v>
      </c>
      <c r="Y19" s="19">
        <f t="shared" si="9"/>
        <v>0</v>
      </c>
      <c r="Z19" s="334"/>
    </row>
    <row r="20" spans="1:26" ht="12.75" x14ac:dyDescent="0.2">
      <c r="A20" s="297">
        <v>6</v>
      </c>
      <c r="B20" s="336" t="s">
        <v>329</v>
      </c>
      <c r="C20" s="95">
        <v>50</v>
      </c>
      <c r="D20" s="108">
        <v>300</v>
      </c>
      <c r="E20" s="108">
        <v>300</v>
      </c>
      <c r="F20" s="122"/>
      <c r="G20" s="97"/>
      <c r="I20" s="108">
        <v>250</v>
      </c>
      <c r="J20" s="108">
        <v>450</v>
      </c>
      <c r="K20" s="122"/>
      <c r="L20" s="97"/>
      <c r="O20" s="371">
        <v>198</v>
      </c>
      <c r="R20" s="19">
        <f t="shared" si="7"/>
        <v>0</v>
      </c>
      <c r="T20" s="338"/>
      <c r="U20" s="19">
        <f t="shared" si="8"/>
        <v>0</v>
      </c>
      <c r="X20" s="342">
        <f>ROUND($X$7*T20,0)</f>
        <v>0</v>
      </c>
      <c r="Y20" s="19">
        <f t="shared" si="9"/>
        <v>0</v>
      </c>
    </row>
    <row r="21" spans="1:26" ht="12.75" x14ac:dyDescent="0.2">
      <c r="A21" s="346">
        <v>85</v>
      </c>
      <c r="B21" s="275" t="s">
        <v>143</v>
      </c>
      <c r="C21" s="95">
        <v>0</v>
      </c>
      <c r="D21" s="152">
        <v>0</v>
      </c>
      <c r="E21" s="364">
        <f>A21*C21</f>
        <v>0</v>
      </c>
      <c r="F21" s="365">
        <f>E21-D21</f>
        <v>0</v>
      </c>
      <c r="G21" s="366">
        <v>0</v>
      </c>
      <c r="I21" s="108">
        <v>0</v>
      </c>
      <c r="J21" s="108">
        <v>0</v>
      </c>
      <c r="K21" s="365">
        <f>J21-I21</f>
        <v>0</v>
      </c>
      <c r="L21" s="366">
        <v>0</v>
      </c>
      <c r="O21" s="371">
        <v>198</v>
      </c>
      <c r="P21" s="334" t="s">
        <v>342</v>
      </c>
      <c r="Q21" s="38">
        <v>58</v>
      </c>
      <c r="R21" s="19">
        <f t="shared" si="7"/>
        <v>11484</v>
      </c>
      <c r="T21" s="338">
        <v>12</v>
      </c>
      <c r="U21" s="19">
        <f t="shared" si="8"/>
        <v>2376</v>
      </c>
      <c r="X21" s="342">
        <f>T21</f>
        <v>12</v>
      </c>
      <c r="Y21" s="19">
        <f t="shared" si="9"/>
        <v>2376</v>
      </c>
      <c r="Z21" s="334" t="s">
        <v>342</v>
      </c>
    </row>
    <row r="22" spans="1:26" ht="12.75" x14ac:dyDescent="0.2">
      <c r="A22" s="297">
        <v>250</v>
      </c>
      <c r="B22" s="275" t="s">
        <v>142</v>
      </c>
      <c r="C22" s="95">
        <v>50</v>
      </c>
      <c r="D22" s="108">
        <v>15500</v>
      </c>
      <c r="E22" s="108">
        <f>A22*C22</f>
        <v>12500</v>
      </c>
      <c r="F22" s="369">
        <f>E22-D22</f>
        <v>-3000</v>
      </c>
      <c r="G22" s="368">
        <f>(F22/D22)</f>
        <v>-0.19354838709677419</v>
      </c>
      <c r="I22" s="108">
        <v>15000</v>
      </c>
      <c r="J22" s="108">
        <v>16250</v>
      </c>
      <c r="K22" s="369">
        <f>J22-I22</f>
        <v>1250</v>
      </c>
      <c r="L22" s="368">
        <f>(K22/I22)</f>
        <v>8.3333333333333329E-2</v>
      </c>
      <c r="O22" s="19">
        <v>396</v>
      </c>
      <c r="P22" s="334" t="s">
        <v>343</v>
      </c>
      <c r="Q22" s="38">
        <v>1050</v>
      </c>
      <c r="R22" s="19">
        <f t="shared" si="7"/>
        <v>415800</v>
      </c>
      <c r="T22" s="338">
        <v>986</v>
      </c>
      <c r="U22" s="19">
        <f t="shared" si="8"/>
        <v>390456</v>
      </c>
      <c r="X22" s="342">
        <f>T22*0.96</f>
        <v>946.56</v>
      </c>
      <c r="Y22" s="19">
        <f t="shared" si="9"/>
        <v>374837.75999999995</v>
      </c>
      <c r="Z22" s="334" t="s">
        <v>343</v>
      </c>
    </row>
    <row r="23" spans="1:26" ht="12.75" x14ac:dyDescent="0.2">
      <c r="A23" s="346">
        <v>10</v>
      </c>
      <c r="B23" s="336" t="s">
        <v>371</v>
      </c>
      <c r="C23" s="95">
        <v>25</v>
      </c>
      <c r="D23" s="152">
        <v>300</v>
      </c>
      <c r="E23" s="364">
        <f>A23*C23</f>
        <v>250</v>
      </c>
      <c r="F23" s="365">
        <f>E23-D23</f>
        <v>-50</v>
      </c>
      <c r="G23" s="368">
        <f>(F23/D23)</f>
        <v>-0.16666666666666666</v>
      </c>
      <c r="I23" s="108">
        <v>300</v>
      </c>
      <c r="J23" s="108">
        <v>300</v>
      </c>
      <c r="K23" s="365">
        <f>J23-I23</f>
        <v>0</v>
      </c>
      <c r="L23" s="368">
        <f>(K23/I23)</f>
        <v>0</v>
      </c>
      <c r="O23" s="19">
        <v>0</v>
      </c>
      <c r="P23" s="334" t="s">
        <v>344</v>
      </c>
      <c r="Q23" s="38">
        <v>1565</v>
      </c>
      <c r="R23" s="19">
        <f t="shared" si="7"/>
        <v>0</v>
      </c>
      <c r="T23" s="338">
        <v>1660</v>
      </c>
      <c r="U23" s="19">
        <f t="shared" si="8"/>
        <v>0</v>
      </c>
      <c r="X23" s="342">
        <v>1600</v>
      </c>
      <c r="Y23" s="19">
        <f t="shared" si="9"/>
        <v>0</v>
      </c>
      <c r="Z23" s="334" t="s">
        <v>344</v>
      </c>
    </row>
    <row r="24" spans="1:26" ht="12.75" x14ac:dyDescent="0.2">
      <c r="A24" s="320">
        <f>SUM(A8:A19)+A21</f>
        <v>6489</v>
      </c>
      <c r="B24" s="275"/>
      <c r="C24" s="95"/>
      <c r="D24" s="351"/>
      <c r="E24" s="350"/>
      <c r="F24" s="348"/>
      <c r="G24" s="352"/>
      <c r="I24" s="350"/>
      <c r="J24" s="350"/>
      <c r="K24" s="348"/>
      <c r="L24" s="352"/>
      <c r="O24" s="371">
        <v>198</v>
      </c>
      <c r="P24" s="334" t="s">
        <v>345</v>
      </c>
      <c r="Q24" s="212">
        <v>8</v>
      </c>
      <c r="R24" s="68">
        <f t="shared" si="7"/>
        <v>1584</v>
      </c>
      <c r="T24" s="339">
        <v>7</v>
      </c>
      <c r="U24" s="19">
        <f t="shared" si="8"/>
        <v>1386</v>
      </c>
      <c r="X24" s="343">
        <f>Q24</f>
        <v>8</v>
      </c>
      <c r="Y24" s="19">
        <f t="shared" si="9"/>
        <v>1584</v>
      </c>
      <c r="Z24" s="334" t="s">
        <v>345</v>
      </c>
    </row>
    <row r="25" spans="1:26" ht="12.75" x14ac:dyDescent="0.2">
      <c r="D25" s="349"/>
      <c r="E25" s="349"/>
      <c r="F25" s="349"/>
      <c r="G25" s="349"/>
      <c r="I25" s="349"/>
      <c r="J25" s="349"/>
      <c r="K25" s="349"/>
      <c r="L25" s="349"/>
      <c r="O25" s="19">
        <v>0</v>
      </c>
      <c r="P25" s="335" t="s">
        <v>348</v>
      </c>
      <c r="Q25" s="38">
        <v>41</v>
      </c>
      <c r="R25" s="19">
        <f t="shared" si="7"/>
        <v>0</v>
      </c>
      <c r="T25" s="338">
        <v>41</v>
      </c>
      <c r="U25" s="19">
        <f t="shared" si="8"/>
        <v>0</v>
      </c>
      <c r="X25" s="342">
        <v>60</v>
      </c>
      <c r="Y25" s="19">
        <f t="shared" si="9"/>
        <v>0</v>
      </c>
      <c r="Z25" s="335" t="s">
        <v>348</v>
      </c>
    </row>
    <row r="26" spans="1:26" ht="12.75" x14ac:dyDescent="0.2">
      <c r="A26" s="289" t="s">
        <v>319</v>
      </c>
      <c r="B26" s="165"/>
      <c r="C26" s="95"/>
      <c r="D26" s="87">
        <f>SUM(D8:D23)</f>
        <v>1705397.5</v>
      </c>
      <c r="E26" s="87">
        <f>SUM(E8:E23)</f>
        <v>1619887.5</v>
      </c>
      <c r="F26" s="353">
        <f>E26-D26</f>
        <v>-85510</v>
      </c>
      <c r="G26" s="347">
        <f>(F26/D26)</f>
        <v>-5.0140802950631745E-2</v>
      </c>
      <c r="I26" s="87">
        <v>1624268</v>
      </c>
      <c r="J26" s="87">
        <f>SUM(J8:J23)</f>
        <v>1625532.13</v>
      </c>
      <c r="K26" s="353">
        <f>J26-I26</f>
        <v>1264.1299999998882</v>
      </c>
      <c r="L26" s="347">
        <f>(K26/I26)</f>
        <v>7.7827673758264541E-4</v>
      </c>
      <c r="P26" s="334"/>
      <c r="Q26" s="38"/>
      <c r="T26" s="338"/>
      <c r="X26" s="367"/>
      <c r="Z26" s="334"/>
    </row>
    <row r="27" spans="1:26" ht="12.75" x14ac:dyDescent="0.2">
      <c r="A27" s="300" t="s">
        <v>308</v>
      </c>
      <c r="B27" s="301"/>
      <c r="C27" s="95"/>
      <c r="D27" s="108">
        <v>292318</v>
      </c>
      <c r="E27" s="108">
        <f>364726+40000-13350+500</f>
        <v>391876</v>
      </c>
      <c r="F27" s="122">
        <f>E27-D27</f>
        <v>99558</v>
      </c>
      <c r="G27" s="379">
        <f>(F27/D27)</f>
        <v>0.34058114792794147</v>
      </c>
      <c r="I27" s="108">
        <v>325082</v>
      </c>
      <c r="J27" s="108">
        <v>325082</v>
      </c>
      <c r="K27" s="122">
        <f>J27-I27</f>
        <v>0</v>
      </c>
      <c r="L27" s="379">
        <f>(K27/I27)</f>
        <v>0</v>
      </c>
      <c r="Q27" s="338">
        <f>SUM(Q8:Q25)</f>
        <v>6390</v>
      </c>
      <c r="R27" s="19">
        <f>SUM(R8:R24)</f>
        <v>1608368</v>
      </c>
      <c r="T27" s="338">
        <f>SUM(T8:T25)</f>
        <v>5779</v>
      </c>
      <c r="U27" s="19">
        <f>SUM(U8:U24)</f>
        <v>1470062</v>
      </c>
      <c r="X27" s="338">
        <f>SUM(X8:X25)</f>
        <v>6301.5599999999995</v>
      </c>
      <c r="Y27" s="19">
        <f>SUM(Y8:Y25)</f>
        <v>1553447.76</v>
      </c>
    </row>
    <row r="28" spans="1:26" ht="12.75" customHeight="1" x14ac:dyDescent="0.2">
      <c r="A28" s="164" t="s">
        <v>191</v>
      </c>
      <c r="B28" s="165"/>
      <c r="C28" s="95"/>
      <c r="D28" s="87">
        <v>769265</v>
      </c>
      <c r="E28" s="87">
        <v>806000</v>
      </c>
      <c r="F28" s="130">
        <f>E28-D28</f>
        <v>36735</v>
      </c>
      <c r="G28" s="131">
        <f>(F28/D28)</f>
        <v>4.775337497481362E-2</v>
      </c>
      <c r="I28" s="87">
        <v>827915</v>
      </c>
      <c r="J28" s="87">
        <v>929996.07000000007</v>
      </c>
      <c r="K28" s="130">
        <f>J28-I28</f>
        <v>102081.07000000007</v>
      </c>
      <c r="L28" s="131">
        <f>(K28/I28)</f>
        <v>0.12329897392848307</v>
      </c>
    </row>
    <row r="29" spans="1:26" ht="12.75" x14ac:dyDescent="0.2">
      <c r="A29" s="164"/>
      <c r="B29" s="165"/>
      <c r="C29" s="95"/>
      <c r="D29" s="126"/>
      <c r="E29" s="117"/>
      <c r="F29" s="122"/>
      <c r="G29" s="97"/>
      <c r="H29" s="391"/>
      <c r="I29" s="350"/>
      <c r="J29" s="117"/>
      <c r="K29" s="122"/>
      <c r="L29" s="97"/>
    </row>
    <row r="30" spans="1:26" ht="12.75" x14ac:dyDescent="0.2">
      <c r="A30" s="137"/>
      <c r="B30" s="275" t="s">
        <v>19</v>
      </c>
      <c r="C30" s="95"/>
      <c r="D30" s="108">
        <f>SUM(D26:D29)</f>
        <v>2766980.5</v>
      </c>
      <c r="E30" s="108">
        <f>SUM(E26:E29)</f>
        <v>2817763.5</v>
      </c>
      <c r="F30" s="122">
        <f>SUM(E30-D30)</f>
        <v>50783</v>
      </c>
      <c r="G30" s="97">
        <f>(F30/D30)</f>
        <v>1.8353219330602438E-2</v>
      </c>
      <c r="H30" s="392"/>
      <c r="I30" s="108">
        <v>2777265</v>
      </c>
      <c r="J30" s="108">
        <f>J26+J27+J28</f>
        <v>2880610.2</v>
      </c>
      <c r="K30" s="122">
        <f>SUM(J30-I30)</f>
        <v>103345.20000000019</v>
      </c>
      <c r="L30" s="97">
        <f>(K30/I30)</f>
        <v>3.7211141176661279E-2</v>
      </c>
    </row>
    <row r="31" spans="1:26" ht="12.75" x14ac:dyDescent="0.2">
      <c r="A31" s="137"/>
      <c r="B31" s="275"/>
      <c r="C31" s="95"/>
      <c r="D31" s="122"/>
      <c r="E31" s="108"/>
      <c r="F31" s="122"/>
      <c r="G31" s="97" t="s">
        <v>0</v>
      </c>
      <c r="I31" s="108"/>
      <c r="J31" s="108"/>
      <c r="K31" s="122"/>
      <c r="L31" s="97" t="s">
        <v>0</v>
      </c>
    </row>
    <row r="32" spans="1:26" ht="12.75" x14ac:dyDescent="0.2">
      <c r="A32" s="137"/>
      <c r="B32" s="275" t="s">
        <v>20</v>
      </c>
      <c r="C32" s="95"/>
      <c r="D32" s="108">
        <f>'Expense Summary'!S36+'ind costs(2)'!B30</f>
        <v>2766980.8600000003</v>
      </c>
      <c r="E32" s="108">
        <f>'Ann Sess'!C51+'ADA Ann Sess'!C54+'Policy and Structure'!C34+'Dtl Ed'!C48+'Captl Conf'!C36+'Government Affairs(2)'!C33+'Mbr Srvs'!C37+Membership!C50+'New Dts'!C37+DEI!C31+'Allied Dental Personnel'!C23+Access!C33+'Dtl Bene'!C36+'Peer Review'!C33+'Communications (2)'!C31+HOD!C40+Board3!C41+Midwinter!C29+'Headquarters (2)'!C26+'ind costs(2)'!C30</f>
        <v>2817763.63</v>
      </c>
      <c r="F32" s="127">
        <f>SUM(E32-D32)</f>
        <v>50782.769999999553</v>
      </c>
      <c r="G32" s="98">
        <f>(F32/D32)</f>
        <v>1.8353133819653363E-2</v>
      </c>
      <c r="I32" s="108">
        <v>2777265.3</v>
      </c>
      <c r="J32" s="108">
        <f>'Expense Summary'!W57</f>
        <v>2379234.88</v>
      </c>
      <c r="K32" s="127">
        <f>SUM(J32-I32)</f>
        <v>-398030.41999999993</v>
      </c>
      <c r="L32" s="98">
        <f>(K32/I32)</f>
        <v>-0.14331739211230557</v>
      </c>
    </row>
    <row r="33" spans="1:20" ht="12.75" x14ac:dyDescent="0.2">
      <c r="A33" s="164" t="s">
        <v>0</v>
      </c>
      <c r="B33" s="165"/>
      <c r="C33" s="95"/>
      <c r="D33" s="128"/>
      <c r="E33" s="129"/>
      <c r="F33" s="122"/>
      <c r="G33" s="97" t="s">
        <v>0</v>
      </c>
      <c r="I33" s="129"/>
      <c r="J33" s="129"/>
      <c r="K33" s="122"/>
      <c r="L33" s="97" t="s">
        <v>0</v>
      </c>
    </row>
    <row r="34" spans="1:20" ht="13.5" thickBot="1" x14ac:dyDescent="0.25">
      <c r="A34" s="164" t="s">
        <v>0</v>
      </c>
      <c r="B34" s="279" t="s">
        <v>193</v>
      </c>
      <c r="C34" s="280"/>
      <c r="D34" s="136">
        <f>D30-D32</f>
        <v>-0.36000000033527613</v>
      </c>
      <c r="E34" s="136">
        <f>E30-E32</f>
        <v>-0.12999999988824129</v>
      </c>
      <c r="F34" s="136">
        <f>F30-F32</f>
        <v>0.23000000044703484</v>
      </c>
      <c r="G34" s="121">
        <f>+G30-G32</f>
        <v>8.551094907507939E-8</v>
      </c>
      <c r="I34" s="136">
        <v>-0.29999999981373549</v>
      </c>
      <c r="J34" s="136">
        <f>J30-J32</f>
        <v>501375.3200000003</v>
      </c>
      <c r="K34" s="136">
        <f>K30-K32</f>
        <v>501375.62000000011</v>
      </c>
      <c r="L34" s="121">
        <f>+L30-L32</f>
        <v>0.18052853328896684</v>
      </c>
      <c r="T34" s="338"/>
    </row>
    <row r="35" spans="1:20" ht="13.5" thickTop="1" x14ac:dyDescent="0.2">
      <c r="A35" s="137"/>
      <c r="B35" s="165"/>
      <c r="C35" s="95"/>
      <c r="D35" s="20"/>
      <c r="E35" s="20"/>
      <c r="F35" s="20"/>
      <c r="G35" s="132" t="s">
        <v>0</v>
      </c>
    </row>
    <row r="36" spans="1:20" ht="12.75" x14ac:dyDescent="0.2">
      <c r="A36" s="118"/>
      <c r="B36" s="119"/>
      <c r="C36" s="120"/>
      <c r="D36" s="133"/>
      <c r="E36" s="284"/>
      <c r="F36" s="134"/>
      <c r="G36" s="135"/>
      <c r="H36" s="23"/>
    </row>
    <row r="37" spans="1:20" ht="12.75" x14ac:dyDescent="0.2">
      <c r="A37" s="20"/>
      <c r="B37" s="20"/>
      <c r="C37" s="95"/>
      <c r="D37" s="231"/>
      <c r="E37" s="20"/>
      <c r="F37" s="20"/>
      <c r="G37" s="20"/>
      <c r="H37" s="330"/>
    </row>
    <row r="38" spans="1:20" ht="12.75" x14ac:dyDescent="0.2">
      <c r="A38" s="20"/>
      <c r="B38" s="113"/>
      <c r="C38" s="114"/>
      <c r="D38" s="231"/>
      <c r="E38" s="231"/>
      <c r="F38" s="396"/>
      <c r="G38" s="397"/>
      <c r="H38" s="22"/>
    </row>
    <row r="39" spans="1:20" ht="12.75" x14ac:dyDescent="0.2">
      <c r="A39" s="20"/>
      <c r="B39" s="20"/>
      <c r="C39" s="95"/>
      <c r="D39" s="231"/>
      <c r="E39" s="231"/>
      <c r="F39" s="20"/>
      <c r="G39" s="20"/>
      <c r="H39" s="22"/>
    </row>
    <row r="40" spans="1:20" ht="12.75" x14ac:dyDescent="0.2">
      <c r="A40" s="20"/>
      <c r="B40" s="20"/>
      <c r="C40" s="95"/>
      <c r="D40" s="20"/>
      <c r="E40" s="231"/>
      <c r="F40" s="231"/>
      <c r="G40" s="398"/>
      <c r="H40" s="22"/>
    </row>
    <row r="41" spans="1:20" ht="12.75" x14ac:dyDescent="0.2">
      <c r="A41" s="20"/>
      <c r="B41" s="20"/>
      <c r="C41" s="95"/>
      <c r="D41" s="20"/>
      <c r="E41" s="20"/>
      <c r="F41" s="20"/>
      <c r="G41" s="20"/>
    </row>
    <row r="42" spans="1:20" ht="12.75" x14ac:dyDescent="0.2">
      <c r="A42" s="20"/>
      <c r="B42" s="20"/>
      <c r="C42" s="95"/>
      <c r="D42" s="20"/>
      <c r="E42" s="231"/>
      <c r="F42" s="394"/>
      <c r="G42" s="20"/>
      <c r="H42" s="22"/>
    </row>
    <row r="43" spans="1:20" ht="12.75" x14ac:dyDescent="0.2">
      <c r="H43" s="20"/>
    </row>
    <row r="44" spans="1:20" ht="12.75" x14ac:dyDescent="0.2">
      <c r="E44" s="20"/>
      <c r="F44" s="20"/>
      <c r="G44" s="20"/>
      <c r="H44" s="20"/>
    </row>
    <row r="45" spans="1:20" ht="12.75" x14ac:dyDescent="0.2">
      <c r="E45" s="20"/>
      <c r="F45" s="20"/>
      <c r="G45" s="20"/>
      <c r="H45" s="20"/>
    </row>
    <row r="46" spans="1:20" ht="12.75" x14ac:dyDescent="0.2">
      <c r="E46" s="20"/>
      <c r="F46" s="20"/>
      <c r="G46" s="20"/>
      <c r="H46" s="20"/>
    </row>
    <row r="47" spans="1:20" ht="12.75" x14ac:dyDescent="0.2">
      <c r="E47" s="20"/>
      <c r="F47" s="20"/>
      <c r="G47" s="20"/>
      <c r="H47" s="20"/>
    </row>
    <row r="48" spans="1:20" ht="12.75" x14ac:dyDescent="0.2">
      <c r="E48" s="20"/>
      <c r="F48" s="20"/>
      <c r="G48" s="20"/>
      <c r="H48" s="20"/>
    </row>
    <row r="49" spans="5:8" ht="12.75" x14ac:dyDescent="0.2">
      <c r="E49" s="20"/>
      <c r="F49" s="20"/>
      <c r="G49" s="20"/>
      <c r="H49" s="20"/>
    </row>
    <row r="50" spans="5:8" ht="12.75" x14ac:dyDescent="0.2">
      <c r="E50" s="20"/>
      <c r="F50" s="20"/>
      <c r="G50" s="20"/>
      <c r="H50" s="20"/>
    </row>
    <row r="51" spans="5:8" ht="12.75" x14ac:dyDescent="0.2">
      <c r="E51" s="20"/>
      <c r="F51" s="20"/>
      <c r="G51" s="20"/>
      <c r="H51" s="20"/>
    </row>
    <row r="52" spans="5:8" ht="12.75" x14ac:dyDescent="0.2">
      <c r="E52" s="20"/>
      <c r="F52" s="20"/>
      <c r="G52" s="20"/>
      <c r="H52" s="20"/>
    </row>
    <row r="53" spans="5:8" ht="12.75" x14ac:dyDescent="0.2">
      <c r="E53" s="20"/>
      <c r="F53" s="20"/>
      <c r="G53" s="20"/>
      <c r="H53" s="20"/>
    </row>
    <row r="54" spans="5:8" ht="12.75" x14ac:dyDescent="0.2">
      <c r="E54" s="20"/>
      <c r="F54" s="20"/>
      <c r="G54" s="20"/>
      <c r="H54" s="20"/>
    </row>
    <row r="55" spans="5:8" ht="12.75" x14ac:dyDescent="0.2">
      <c r="E55" s="20"/>
      <c r="F55" s="20"/>
      <c r="G55" s="20"/>
      <c r="H55" s="20"/>
    </row>
    <row r="56" spans="5:8" ht="12.75" x14ac:dyDescent="0.2">
      <c r="E56" s="20"/>
      <c r="F56" s="20"/>
      <c r="G56" s="20"/>
      <c r="H56" s="20"/>
    </row>
    <row r="57" spans="5:8" ht="12.75" x14ac:dyDescent="0.2">
      <c r="E57" s="20"/>
      <c r="F57" s="20"/>
      <c r="G57" s="20"/>
      <c r="H57" s="20"/>
    </row>
    <row r="58" spans="5:8" ht="12.75" x14ac:dyDescent="0.2">
      <c r="E58" s="20"/>
      <c r="F58" s="20"/>
      <c r="G58" s="20"/>
      <c r="H58" s="20"/>
    </row>
    <row r="59" spans="5:8" ht="12.75" x14ac:dyDescent="0.2">
      <c r="E59" s="20"/>
      <c r="F59" s="20"/>
      <c r="G59" s="20"/>
      <c r="H59" s="20"/>
    </row>
    <row r="60" spans="5:8" ht="12.75" x14ac:dyDescent="0.2">
      <c r="H60" s="20"/>
    </row>
    <row r="61" spans="5:8" ht="12.75" x14ac:dyDescent="0.2">
      <c r="H61" s="20"/>
    </row>
    <row r="62" spans="5:8" ht="12.75" x14ac:dyDescent="0.2">
      <c r="H62" s="20"/>
    </row>
  </sheetData>
  <mergeCells count="2">
    <mergeCell ref="A3:G3"/>
    <mergeCell ref="A5:C6"/>
  </mergeCells>
  <phoneticPr fontId="0" type="noConversion"/>
  <pageMargins left="1.3" right="0.75" top="1" bottom="1" header="0.5" footer="0.5"/>
  <pageSetup orientation="portrait" r:id="rId1"/>
  <headerFooter alignWithMargins="0"/>
  <rowBreaks count="1" manualBreakCount="1">
    <brk id="42" max="16383" man="1"/>
  </rowBreaks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8">
    <pageSetUpPr fitToPage="1"/>
  </sheetPr>
  <dimension ref="A1:F34"/>
  <sheetViews>
    <sheetView showGridLines="0" zoomScaleNormal="100" workbookViewId="0">
      <selection activeCell="G1" sqref="G1:G1048576"/>
    </sheetView>
  </sheetViews>
  <sheetFormatPr defaultColWidth="8.7109375" defaultRowHeight="12.75" x14ac:dyDescent="0.2"/>
  <cols>
    <col min="1" max="1" width="27.42578125" bestFit="1" customWidth="1"/>
    <col min="2" max="2" width="10.7109375" customWidth="1"/>
    <col min="3" max="3" width="10.7109375" bestFit="1" customWidth="1"/>
    <col min="4" max="5" width="9.7109375" bestFit="1" customWidth="1"/>
  </cols>
  <sheetData>
    <row r="1" spans="1:5" ht="15.75" x14ac:dyDescent="0.25">
      <c r="A1" s="3" t="str">
        <f>'Ann Sess'!A1</f>
        <v>2026 Budget</v>
      </c>
      <c r="B1" s="3" t="s">
        <v>205</v>
      </c>
    </row>
    <row r="2" spans="1:5" ht="15.75" x14ac:dyDescent="0.25">
      <c r="A2" s="359" t="str">
        <f>'Ann Sess'!A2</f>
        <v>1st Draft</v>
      </c>
      <c r="B2" s="3"/>
    </row>
    <row r="3" spans="1:5" ht="15.75" x14ac:dyDescent="0.25">
      <c r="A3" s="100"/>
      <c r="B3" s="177" t="s">
        <v>201</v>
      </c>
    </row>
    <row r="4" spans="1:5" x14ac:dyDescent="0.2">
      <c r="D4" s="7" t="s">
        <v>0</v>
      </c>
    </row>
    <row r="5" spans="1:5" s="64" customFormat="1" ht="15" x14ac:dyDescent="0.25">
      <c r="A5" s="63" t="s">
        <v>26</v>
      </c>
      <c r="B5" s="63">
        <f>'Ann Sess'!B5</f>
        <v>2025</v>
      </c>
      <c r="C5" s="63">
        <f>'Ann Sess'!C5</f>
        <v>2026</v>
      </c>
      <c r="D5" s="4" t="s">
        <v>44</v>
      </c>
      <c r="E5" s="57" t="s">
        <v>44</v>
      </c>
    </row>
    <row r="6" spans="1:5" s="64" customFormat="1" ht="15" x14ac:dyDescent="0.25">
      <c r="A6" s="46" t="s">
        <v>41</v>
      </c>
      <c r="B6" s="46" t="s">
        <v>43</v>
      </c>
      <c r="C6" s="46" t="s">
        <v>120</v>
      </c>
      <c r="D6" s="5" t="s">
        <v>45</v>
      </c>
      <c r="E6" s="46" t="s">
        <v>46</v>
      </c>
    </row>
    <row r="7" spans="1:5" x14ac:dyDescent="0.2">
      <c r="A7" s="145" t="s">
        <v>67</v>
      </c>
      <c r="B7" s="192">
        <f>+'Government Affairs'!B49</f>
        <v>99400</v>
      </c>
      <c r="C7" s="192">
        <f>+'Government Affairs'!C49</f>
        <v>102555</v>
      </c>
      <c r="D7" s="78">
        <f>C7-B7</f>
        <v>3155</v>
      </c>
      <c r="E7" s="52">
        <f>(D7/B7)</f>
        <v>3.1740442655935612E-2</v>
      </c>
    </row>
    <row r="8" spans="1:5" x14ac:dyDescent="0.2">
      <c r="A8" s="167"/>
      <c r="B8" s="13"/>
      <c r="C8" s="13"/>
      <c r="D8" s="11"/>
      <c r="E8" s="6"/>
    </row>
    <row r="9" spans="1:5" x14ac:dyDescent="0.2">
      <c r="A9" s="144" t="s">
        <v>415</v>
      </c>
      <c r="B9" s="13"/>
      <c r="C9" s="13"/>
      <c r="D9" s="11"/>
      <c r="E9" s="6"/>
    </row>
    <row r="10" spans="1:5" x14ac:dyDescent="0.2">
      <c r="A10" s="58" t="s">
        <v>449</v>
      </c>
      <c r="B10" s="324">
        <v>2800</v>
      </c>
      <c r="C10" s="324">
        <v>2950</v>
      </c>
      <c r="D10" s="11">
        <f>C10-B10</f>
        <v>150</v>
      </c>
      <c r="E10" s="51">
        <f>(D10/B10)</f>
        <v>5.3571428571428568E-2</v>
      </c>
    </row>
    <row r="11" spans="1:5" x14ac:dyDescent="0.2">
      <c r="A11" s="58" t="s">
        <v>373</v>
      </c>
      <c r="B11" s="324">
        <v>3000</v>
      </c>
      <c r="C11" s="324">
        <f>290*12</f>
        <v>3480</v>
      </c>
      <c r="D11" s="11">
        <f>C11-B11</f>
        <v>480</v>
      </c>
      <c r="E11" s="51">
        <f>(D11/B11)</f>
        <v>0.16</v>
      </c>
    </row>
    <row r="12" spans="1:5" x14ac:dyDescent="0.2">
      <c r="A12" s="167" t="s">
        <v>76</v>
      </c>
      <c r="B12" s="324">
        <v>550</v>
      </c>
      <c r="C12" s="324">
        <v>550</v>
      </c>
      <c r="D12" s="11">
        <f>C12-B12</f>
        <v>0</v>
      </c>
      <c r="E12" s="51">
        <f>(D12/B12)</f>
        <v>0</v>
      </c>
    </row>
    <row r="13" spans="1:5" x14ac:dyDescent="0.2">
      <c r="A13" s="58" t="s">
        <v>382</v>
      </c>
      <c r="B13" s="87">
        <v>400</v>
      </c>
      <c r="C13" s="387">
        <v>400</v>
      </c>
      <c r="D13" s="388">
        <f>C13-B13</f>
        <v>0</v>
      </c>
      <c r="E13" s="102">
        <f>(D13/B13)</f>
        <v>0</v>
      </c>
    </row>
    <row r="14" spans="1:5" x14ac:dyDescent="0.2">
      <c r="A14" s="58"/>
      <c r="B14" s="285">
        <f>SUM(B10:B13)</f>
        <v>6750</v>
      </c>
      <c r="C14" s="285">
        <f>SUM(C10:C13)</f>
        <v>7380</v>
      </c>
      <c r="D14" s="285">
        <f>SUM(D10:D13)</f>
        <v>630</v>
      </c>
      <c r="E14" s="51">
        <f>(D14/B14)</f>
        <v>9.3333333333333338E-2</v>
      </c>
    </row>
    <row r="15" spans="1:5" x14ac:dyDescent="0.2">
      <c r="A15" s="167"/>
      <c r="B15" s="174"/>
      <c r="C15" s="174"/>
      <c r="D15" s="11"/>
      <c r="E15" s="6"/>
    </row>
    <row r="16" spans="1:5" x14ac:dyDescent="0.2">
      <c r="A16" s="144" t="s">
        <v>14</v>
      </c>
      <c r="B16" s="174"/>
      <c r="C16" s="174"/>
      <c r="D16" s="11"/>
      <c r="E16" s="6"/>
    </row>
    <row r="17" spans="1:6" x14ac:dyDescent="0.2">
      <c r="A17" s="58" t="s">
        <v>224</v>
      </c>
      <c r="B17" s="108">
        <v>50</v>
      </c>
      <c r="C17" s="108">
        <v>50</v>
      </c>
      <c r="D17" s="75">
        <f>C17-B17</f>
        <v>0</v>
      </c>
      <c r="E17" s="296">
        <v>1</v>
      </c>
    </row>
    <row r="18" spans="1:6" x14ac:dyDescent="0.2">
      <c r="A18" s="291"/>
      <c r="B18" s="108"/>
      <c r="C18" s="108"/>
      <c r="D18" s="75"/>
      <c r="E18" s="296"/>
    </row>
    <row r="19" spans="1:6" x14ac:dyDescent="0.2">
      <c r="A19" s="144" t="s">
        <v>16</v>
      </c>
      <c r="B19" s="174"/>
      <c r="C19" s="174"/>
      <c r="D19" s="11"/>
      <c r="E19" s="6"/>
    </row>
    <row r="20" spans="1:6" x14ac:dyDescent="0.2">
      <c r="A20" s="291" t="s">
        <v>304</v>
      </c>
      <c r="B20" s="108">
        <v>50</v>
      </c>
      <c r="C20" s="108">
        <v>50</v>
      </c>
      <c r="D20" s="75">
        <f>C20-B20</f>
        <v>0</v>
      </c>
      <c r="E20" s="296">
        <v>1</v>
      </c>
      <c r="F20" s="294"/>
    </row>
    <row r="21" spans="1:6" x14ac:dyDescent="0.2">
      <c r="A21" s="291"/>
      <c r="B21" s="13"/>
      <c r="C21" s="13"/>
      <c r="D21" s="11"/>
      <c r="E21" s="6"/>
    </row>
    <row r="22" spans="1:6" x14ac:dyDescent="0.2">
      <c r="A22" s="144" t="s">
        <v>15</v>
      </c>
      <c r="B22" s="13"/>
      <c r="C22" s="13"/>
      <c r="D22" s="11"/>
      <c r="E22" s="6"/>
    </row>
    <row r="23" spans="1:6" x14ac:dyDescent="0.2">
      <c r="A23" s="58" t="s">
        <v>481</v>
      </c>
      <c r="B23" s="324">
        <v>850</v>
      </c>
      <c r="C23" s="324">
        <v>850</v>
      </c>
      <c r="D23" s="11">
        <f>C23-B23</f>
        <v>0</v>
      </c>
      <c r="E23" s="51">
        <f>(D23/B23)</f>
        <v>0</v>
      </c>
    </row>
    <row r="24" spans="1:6" x14ac:dyDescent="0.2">
      <c r="A24" s="167" t="s">
        <v>77</v>
      </c>
      <c r="B24" s="285">
        <v>1240</v>
      </c>
      <c r="C24" s="285">
        <v>1000</v>
      </c>
      <c r="D24" s="11">
        <f>C24-B24</f>
        <v>-240</v>
      </c>
      <c r="E24" s="51">
        <f>(D24/B24)</f>
        <v>-0.19354838709677419</v>
      </c>
    </row>
    <row r="25" spans="1:6" x14ac:dyDescent="0.2">
      <c r="A25" s="168" t="s">
        <v>123</v>
      </c>
      <c r="B25" s="160">
        <v>500</v>
      </c>
      <c r="C25" s="160">
        <v>500</v>
      </c>
      <c r="D25" s="155">
        <f>C25-B25</f>
        <v>0</v>
      </c>
      <c r="E25" s="139">
        <f>(D25/B25)</f>
        <v>0</v>
      </c>
    </row>
    <row r="26" spans="1:6" x14ac:dyDescent="0.2">
      <c r="A26" s="167"/>
      <c r="B26" s="13">
        <f>SUM(B23:B25)</f>
        <v>2590</v>
      </c>
      <c r="C26" s="13">
        <f>SUM(C23:C25)</f>
        <v>2350</v>
      </c>
      <c r="D26" s="11">
        <f>SUM(D23:D25)</f>
        <v>-240</v>
      </c>
      <c r="E26" s="51">
        <f>(D26/B26)</f>
        <v>-9.2664092664092659E-2</v>
      </c>
    </row>
    <row r="27" spans="1:6" x14ac:dyDescent="0.2">
      <c r="A27" s="167"/>
      <c r="B27" s="13"/>
      <c r="C27" s="13"/>
      <c r="D27" s="11"/>
      <c r="E27" s="6"/>
    </row>
    <row r="28" spans="1:6" x14ac:dyDescent="0.2">
      <c r="A28" s="167"/>
      <c r="B28" s="13"/>
      <c r="C28" s="13"/>
      <c r="D28" s="11"/>
      <c r="E28" s="6"/>
    </row>
    <row r="29" spans="1:6" x14ac:dyDescent="0.2">
      <c r="A29" s="144" t="s">
        <v>17</v>
      </c>
      <c r="B29" s="13"/>
      <c r="C29" s="13"/>
      <c r="D29" s="13"/>
      <c r="E29" s="1"/>
    </row>
    <row r="30" spans="1:6" x14ac:dyDescent="0.2">
      <c r="A30" s="167" t="s">
        <v>72</v>
      </c>
      <c r="B30" s="33">
        <v>1500</v>
      </c>
      <c r="C30" s="33">
        <v>1500</v>
      </c>
      <c r="D30" s="29">
        <f>C30-B30</f>
        <v>0</v>
      </c>
      <c r="E30" s="51">
        <f>(D30/B30)</f>
        <v>0</v>
      </c>
    </row>
    <row r="31" spans="1:6" x14ac:dyDescent="0.2">
      <c r="A31" s="6"/>
      <c r="B31" s="13"/>
      <c r="C31" s="13"/>
      <c r="D31" s="159"/>
      <c r="E31" s="6"/>
    </row>
    <row r="32" spans="1:6" x14ac:dyDescent="0.2">
      <c r="A32" s="6"/>
      <c r="B32" s="13"/>
      <c r="C32" s="13"/>
      <c r="D32" s="159"/>
      <c r="E32" s="6"/>
    </row>
    <row r="33" spans="1:5" s="54" customFormat="1" ht="15.75" thickBot="1" x14ac:dyDescent="0.3">
      <c r="A33" s="176" t="s">
        <v>22</v>
      </c>
      <c r="B33" s="156">
        <f>SUM(B7,B14,B26,B30,B20,B17)</f>
        <v>110340</v>
      </c>
      <c r="C33" s="156">
        <f>SUM(C7,C14,C26,C30,C20,C17)</f>
        <v>113885</v>
      </c>
      <c r="D33" s="156">
        <f>SUM(D7,D13,D26,D30,)</f>
        <v>2915</v>
      </c>
      <c r="E33" s="143">
        <f>(D33/B33)</f>
        <v>2.6418343302519486E-2</v>
      </c>
    </row>
    <row r="34" spans="1:5" ht="13.5" thickTop="1" x14ac:dyDescent="0.2">
      <c r="A34" s="146"/>
      <c r="B34" s="47"/>
      <c r="C34" s="47"/>
      <c r="D34" s="47"/>
      <c r="E34" s="149"/>
    </row>
  </sheetData>
  <phoneticPr fontId="0" type="noConversion"/>
  <pageMargins left="1" right="0.5" top="1" bottom="1" header="0.56999999999999995" footer="0.5"/>
  <pageSetup orientation="portrait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4"/>
  <dimension ref="A1:F41"/>
  <sheetViews>
    <sheetView showGridLines="0" zoomScaleNormal="100" workbookViewId="0">
      <selection activeCell="G1" sqref="G1:G1048576"/>
    </sheetView>
  </sheetViews>
  <sheetFormatPr defaultColWidth="8.7109375" defaultRowHeight="12.75" x14ac:dyDescent="0.2"/>
  <cols>
    <col min="1" max="1" width="41.7109375" customWidth="1"/>
    <col min="2" max="2" width="10.7109375" customWidth="1"/>
    <col min="3" max="3" width="10.7109375" bestFit="1" customWidth="1"/>
    <col min="4" max="4" width="9.7109375" bestFit="1" customWidth="1"/>
    <col min="5" max="5" width="9.28515625" bestFit="1" customWidth="1"/>
  </cols>
  <sheetData>
    <row r="1" spans="1:6" ht="15.75" x14ac:dyDescent="0.25">
      <c r="A1" s="3" t="str">
        <f>'Ann Sess'!A1</f>
        <v>2026 Budget</v>
      </c>
      <c r="B1" s="3" t="s">
        <v>3</v>
      </c>
    </row>
    <row r="2" spans="1:6" ht="15.75" x14ac:dyDescent="0.25">
      <c r="A2" s="359" t="str">
        <f>'Ann Sess'!A2</f>
        <v>1st Draft</v>
      </c>
      <c r="B2" s="3"/>
    </row>
    <row r="3" spans="1:6" ht="15.75" x14ac:dyDescent="0.25">
      <c r="A3" s="85"/>
      <c r="B3" s="3" t="s">
        <v>1</v>
      </c>
    </row>
    <row r="4" spans="1:6" x14ac:dyDescent="0.2">
      <c r="D4" s="7" t="s">
        <v>0</v>
      </c>
    </row>
    <row r="5" spans="1:6" ht="15" x14ac:dyDescent="0.25">
      <c r="A5" s="63" t="s">
        <v>26</v>
      </c>
      <c r="B5" s="63">
        <f>'Ann Sess'!B5</f>
        <v>2025</v>
      </c>
      <c r="C5" s="63">
        <f>'Ann Sess'!C5</f>
        <v>2026</v>
      </c>
      <c r="D5" s="4" t="s">
        <v>44</v>
      </c>
      <c r="E5" s="49" t="s">
        <v>44</v>
      </c>
    </row>
    <row r="6" spans="1:6" ht="15" x14ac:dyDescent="0.25">
      <c r="A6" s="46" t="s">
        <v>41</v>
      </c>
      <c r="B6" s="46" t="s">
        <v>43</v>
      </c>
      <c r="C6" s="46" t="s">
        <v>120</v>
      </c>
      <c r="D6" s="5" t="s">
        <v>45</v>
      </c>
      <c r="E6" s="46" t="s">
        <v>46</v>
      </c>
    </row>
    <row r="7" spans="1:6" ht="15" x14ac:dyDescent="0.25">
      <c r="A7" s="162"/>
      <c r="B7" s="2"/>
      <c r="C7" s="2"/>
      <c r="D7" s="2"/>
      <c r="E7" s="50"/>
    </row>
    <row r="8" spans="1:6" x14ac:dyDescent="0.2">
      <c r="A8" s="6"/>
      <c r="B8" s="15"/>
      <c r="C8" s="15"/>
      <c r="D8" s="2"/>
      <c r="E8" s="6"/>
    </row>
    <row r="9" spans="1:6" x14ac:dyDescent="0.2">
      <c r="A9" s="144" t="s">
        <v>10</v>
      </c>
      <c r="B9" s="15"/>
      <c r="C9" s="15"/>
      <c r="D9" s="2"/>
      <c r="E9" s="6"/>
    </row>
    <row r="10" spans="1:6" x14ac:dyDescent="0.2">
      <c r="A10" s="6" t="s">
        <v>383</v>
      </c>
      <c r="B10" s="108">
        <f>2*10*140</f>
        <v>2800</v>
      </c>
      <c r="C10" s="108">
        <f>2*10*140</f>
        <v>2800</v>
      </c>
      <c r="D10" s="29">
        <f>C10-B10</f>
        <v>0</v>
      </c>
      <c r="E10" s="51">
        <f>D10/B10</f>
        <v>0</v>
      </c>
    </row>
    <row r="11" spans="1:6" x14ac:dyDescent="0.2">
      <c r="A11" s="168" t="s">
        <v>177</v>
      </c>
      <c r="B11" s="108">
        <v>2500</v>
      </c>
      <c r="C11" s="108">
        <v>2500</v>
      </c>
      <c r="D11" s="29">
        <f>C11-B11</f>
        <v>0</v>
      </c>
      <c r="E11" s="51">
        <f>D11/B11</f>
        <v>0</v>
      </c>
    </row>
    <row r="12" spans="1:6" x14ac:dyDescent="0.2">
      <c r="A12" s="2" t="s">
        <v>370</v>
      </c>
      <c r="B12" s="108">
        <v>8000</v>
      </c>
      <c r="C12" s="108">
        <v>8000</v>
      </c>
      <c r="D12" s="29">
        <f>C12-B12</f>
        <v>0</v>
      </c>
      <c r="E12" s="51">
        <f>D12/B12</f>
        <v>0</v>
      </c>
      <c r="F12" s="35"/>
    </row>
    <row r="13" spans="1:6" x14ac:dyDescent="0.2">
      <c r="A13" s="151" t="s">
        <v>312</v>
      </c>
      <c r="B13" s="87">
        <v>800</v>
      </c>
      <c r="C13" s="87">
        <v>800</v>
      </c>
      <c r="D13" s="99">
        <f>C13-B13</f>
        <v>0</v>
      </c>
      <c r="E13" s="102">
        <f>D13/B13</f>
        <v>0</v>
      </c>
    </row>
    <row r="14" spans="1:6" x14ac:dyDescent="0.2">
      <c r="A14" s="190"/>
      <c r="B14" s="108">
        <f>SUM(B10:B13)</f>
        <v>14100</v>
      </c>
      <c r="C14" s="108">
        <f>SUM(C10:C13)</f>
        <v>14100</v>
      </c>
      <c r="D14" s="33">
        <f>SUM(D10:D13)</f>
        <v>0</v>
      </c>
      <c r="E14" s="51">
        <f>D14/B14</f>
        <v>0</v>
      </c>
    </row>
    <row r="15" spans="1:6" x14ac:dyDescent="0.2">
      <c r="A15" s="150" t="s">
        <v>11</v>
      </c>
      <c r="B15" s="88"/>
      <c r="C15" s="88"/>
      <c r="D15" s="11"/>
      <c r="E15" s="6"/>
    </row>
    <row r="16" spans="1:6" x14ac:dyDescent="0.2">
      <c r="A16" s="2" t="s">
        <v>374</v>
      </c>
      <c r="B16" s="88">
        <f>2*9*100</f>
        <v>1800</v>
      </c>
      <c r="C16" s="88">
        <f>2*9*100</f>
        <v>1800</v>
      </c>
      <c r="D16" s="29">
        <f>C16-B16</f>
        <v>0</v>
      </c>
      <c r="E16" s="51">
        <f>(D16/B16)</f>
        <v>0</v>
      </c>
    </row>
    <row r="17" spans="1:5" x14ac:dyDescent="0.2">
      <c r="A17" s="151" t="s">
        <v>95</v>
      </c>
      <c r="B17" s="326">
        <f>2*135</f>
        <v>270</v>
      </c>
      <c r="C17" s="326">
        <f>2*135</f>
        <v>270</v>
      </c>
      <c r="D17" s="160">
        <f>C17-B17</f>
        <v>0</v>
      </c>
      <c r="E17" s="139">
        <f>(D17/B17)</f>
        <v>0</v>
      </c>
    </row>
    <row r="18" spans="1:5" x14ac:dyDescent="0.2">
      <c r="A18" s="167"/>
      <c r="B18" s="84">
        <f>SUM(B16:B17)</f>
        <v>2070</v>
      </c>
      <c r="C18" s="84">
        <f>SUM(C16:C17)</f>
        <v>2070</v>
      </c>
      <c r="D18" s="84">
        <f>SUM(D16:D17)</f>
        <v>0</v>
      </c>
      <c r="E18" s="51">
        <f>(D18/B18)</f>
        <v>0</v>
      </c>
    </row>
    <row r="19" spans="1:5" x14ac:dyDescent="0.2">
      <c r="A19" s="150" t="s">
        <v>13</v>
      </c>
      <c r="B19" s="13"/>
      <c r="C19" s="13"/>
      <c r="D19" s="30"/>
      <c r="E19" s="6"/>
    </row>
    <row r="20" spans="1:5" x14ac:dyDescent="0.2">
      <c r="A20" s="151" t="s">
        <v>444</v>
      </c>
      <c r="B20" s="13">
        <v>750</v>
      </c>
      <c r="C20" s="13">
        <v>750</v>
      </c>
      <c r="D20" s="13">
        <f>C20-B20</f>
        <v>0</v>
      </c>
      <c r="E20" s="6">
        <f>D20/B20</f>
        <v>0</v>
      </c>
    </row>
    <row r="21" spans="1:5" x14ac:dyDescent="0.2">
      <c r="A21" s="58"/>
      <c r="B21" s="13"/>
      <c r="C21" s="13"/>
      <c r="D21" s="33"/>
      <c r="E21" s="51"/>
    </row>
    <row r="22" spans="1:5" x14ac:dyDescent="0.2">
      <c r="A22" s="144" t="s">
        <v>14</v>
      </c>
      <c r="B22" s="13"/>
      <c r="C22" s="13"/>
      <c r="D22" s="13"/>
      <c r="E22" s="6"/>
    </row>
    <row r="23" spans="1:5" x14ac:dyDescent="0.2">
      <c r="A23" s="167" t="s">
        <v>89</v>
      </c>
      <c r="B23" s="33">
        <v>50</v>
      </c>
      <c r="C23" s="33">
        <v>50</v>
      </c>
      <c r="D23" s="13">
        <f>C23-B23</f>
        <v>0</v>
      </c>
      <c r="E23" s="51">
        <f>(D23/B23)</f>
        <v>0</v>
      </c>
    </row>
    <row r="24" spans="1:5" x14ac:dyDescent="0.2">
      <c r="A24" s="167"/>
      <c r="B24" s="33"/>
      <c r="C24" s="33"/>
      <c r="D24" s="13"/>
      <c r="E24" s="6"/>
    </row>
    <row r="25" spans="1:5" x14ac:dyDescent="0.2">
      <c r="A25" s="144" t="s">
        <v>16</v>
      </c>
      <c r="B25" s="13"/>
      <c r="C25" s="13"/>
      <c r="D25" s="13"/>
      <c r="E25" s="6"/>
    </row>
    <row r="26" spans="1:5" x14ac:dyDescent="0.2">
      <c r="A26" s="167" t="s">
        <v>72</v>
      </c>
      <c r="B26" s="33">
        <v>50</v>
      </c>
      <c r="C26" s="33">
        <v>50</v>
      </c>
      <c r="D26" s="13">
        <f>C26-B26</f>
        <v>0</v>
      </c>
      <c r="E26" s="51">
        <f>(D26/B26)</f>
        <v>0</v>
      </c>
    </row>
    <row r="27" spans="1:5" x14ac:dyDescent="0.2">
      <c r="A27" s="167"/>
      <c r="B27" s="13"/>
      <c r="C27" s="13"/>
      <c r="D27" s="13"/>
      <c r="E27" s="6"/>
    </row>
    <row r="28" spans="1:5" x14ac:dyDescent="0.2">
      <c r="A28" s="144" t="s">
        <v>15</v>
      </c>
      <c r="B28" s="13"/>
      <c r="C28" s="13"/>
      <c r="D28" s="13"/>
      <c r="E28" s="6"/>
    </row>
    <row r="29" spans="1:5" x14ac:dyDescent="0.2">
      <c r="A29" s="167" t="s">
        <v>72</v>
      </c>
      <c r="B29" s="33">
        <v>100</v>
      </c>
      <c r="C29" s="33">
        <v>100</v>
      </c>
      <c r="D29" s="30">
        <f>C29-B29</f>
        <v>0</v>
      </c>
      <c r="E29" s="51">
        <f>(D29/B29)</f>
        <v>0</v>
      </c>
    </row>
    <row r="30" spans="1:5" x14ac:dyDescent="0.2">
      <c r="A30" s="167"/>
      <c r="B30" s="13"/>
      <c r="C30" s="13"/>
      <c r="D30" s="159"/>
      <c r="E30" s="6"/>
    </row>
    <row r="31" spans="1:5" x14ac:dyDescent="0.2">
      <c r="A31" s="6"/>
      <c r="B31" s="13"/>
      <c r="C31" s="13"/>
      <c r="D31" s="159"/>
      <c r="E31" s="6"/>
    </row>
    <row r="32" spans="1:5" x14ac:dyDescent="0.2">
      <c r="A32" s="6"/>
      <c r="B32" s="13"/>
      <c r="C32" s="13"/>
      <c r="D32" s="159"/>
      <c r="E32" s="6"/>
    </row>
    <row r="33" spans="1:5" ht="15.75" thickBot="1" x14ac:dyDescent="0.3">
      <c r="A33" s="166" t="s">
        <v>22</v>
      </c>
      <c r="B33" s="156">
        <f>+B29+B26+B23+B18+B14+B20</f>
        <v>17120</v>
      </c>
      <c r="C33" s="156">
        <f>+C29+C26+C23+C18+C14+C20</f>
        <v>17120</v>
      </c>
      <c r="D33" s="156">
        <f>+D29+D26+D23+D20+D18+D14</f>
        <v>0</v>
      </c>
      <c r="E33" s="143">
        <f>(D33/B33)</f>
        <v>0</v>
      </c>
    </row>
    <row r="34" spans="1:5" ht="13.5" thickTop="1" x14ac:dyDescent="0.2">
      <c r="A34" s="146"/>
      <c r="B34" s="47"/>
      <c r="C34" s="47"/>
      <c r="D34" s="47"/>
      <c r="E34" s="149"/>
    </row>
    <row r="41" spans="1:5" x14ac:dyDescent="0.2">
      <c r="A41" s="35"/>
    </row>
  </sheetData>
  <phoneticPr fontId="0" type="noConversion"/>
  <pageMargins left="1" right="0.5" top="1" bottom="1" header="0.5" footer="0.5"/>
  <pageSetup orientation="portrait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9"/>
  <dimension ref="A1:H38"/>
  <sheetViews>
    <sheetView showGridLines="0" zoomScaleNormal="100" workbookViewId="0">
      <selection activeCell="G1" sqref="G1:G1048576"/>
    </sheetView>
  </sheetViews>
  <sheetFormatPr defaultColWidth="8.7109375" defaultRowHeight="12.75" x14ac:dyDescent="0.2"/>
  <cols>
    <col min="1" max="1" width="38.7109375" bestFit="1" customWidth="1"/>
    <col min="2" max="2" width="10.7109375" customWidth="1"/>
    <col min="3" max="3" width="10.7109375" bestFit="1" customWidth="1"/>
    <col min="4" max="4" width="9.7109375" bestFit="1" customWidth="1"/>
    <col min="5" max="5" width="9.28515625" bestFit="1" customWidth="1"/>
  </cols>
  <sheetData>
    <row r="1" spans="1:5" ht="15.75" x14ac:dyDescent="0.25">
      <c r="A1" s="3" t="str">
        <f>'Ann Sess'!A1</f>
        <v>2026 Budget</v>
      </c>
      <c r="B1" s="3" t="s">
        <v>65</v>
      </c>
      <c r="C1" s="3"/>
      <c r="D1" s="35"/>
    </row>
    <row r="2" spans="1:5" ht="15.75" x14ac:dyDescent="0.25">
      <c r="A2" s="359" t="str">
        <f>'Ann Sess'!A2</f>
        <v>1st Draft</v>
      </c>
      <c r="B2" s="37"/>
      <c r="C2" s="35"/>
      <c r="D2" s="35"/>
    </row>
    <row r="3" spans="1:5" ht="15.75" x14ac:dyDescent="0.25">
      <c r="A3" s="100"/>
      <c r="B3" s="3" t="s">
        <v>203</v>
      </c>
      <c r="C3" s="53"/>
      <c r="D3" s="35"/>
    </row>
    <row r="4" spans="1:5" x14ac:dyDescent="0.2">
      <c r="A4" s="35"/>
      <c r="B4" s="35"/>
      <c r="C4" s="35"/>
      <c r="D4" s="8" t="s">
        <v>0</v>
      </c>
    </row>
    <row r="5" spans="1:5" ht="15" x14ac:dyDescent="0.25">
      <c r="A5" s="63" t="s">
        <v>26</v>
      </c>
      <c r="B5" s="63">
        <f>'Ann Sess'!B5</f>
        <v>2025</v>
      </c>
      <c r="C5" s="63">
        <f>'Ann Sess'!C5</f>
        <v>2026</v>
      </c>
      <c r="D5" s="4" t="s">
        <v>44</v>
      </c>
      <c r="E5" s="49" t="s">
        <v>44</v>
      </c>
    </row>
    <row r="6" spans="1:5" ht="15" x14ac:dyDescent="0.25">
      <c r="A6" s="46" t="s">
        <v>41</v>
      </c>
      <c r="B6" s="46" t="s">
        <v>43</v>
      </c>
      <c r="C6" s="46" t="s">
        <v>120</v>
      </c>
      <c r="D6" s="5" t="s">
        <v>45</v>
      </c>
      <c r="E6" s="46" t="s">
        <v>46</v>
      </c>
    </row>
    <row r="7" spans="1:5" ht="15" x14ac:dyDescent="0.25">
      <c r="A7" s="162"/>
      <c r="B7" s="2"/>
      <c r="C7" s="2"/>
      <c r="D7" s="2"/>
      <c r="E7" s="50"/>
    </row>
    <row r="8" spans="1:5" x14ac:dyDescent="0.2">
      <c r="A8" s="6"/>
      <c r="B8" s="2"/>
      <c r="C8" s="2"/>
      <c r="D8" s="2"/>
      <c r="E8" s="6"/>
    </row>
    <row r="9" spans="1:5" x14ac:dyDescent="0.2">
      <c r="A9" s="144" t="s">
        <v>10</v>
      </c>
      <c r="B9" s="2"/>
      <c r="C9" s="2"/>
      <c r="D9" s="2"/>
      <c r="E9" s="6"/>
    </row>
    <row r="10" spans="1:5" x14ac:dyDescent="0.2">
      <c r="A10" s="58" t="s">
        <v>366</v>
      </c>
      <c r="B10" s="303">
        <f>(1*9*135)+150</f>
        <v>1365</v>
      </c>
      <c r="C10" s="303">
        <f>(1*9*135)+150</f>
        <v>1365</v>
      </c>
      <c r="D10" s="11">
        <f>C10-B10</f>
        <v>0</v>
      </c>
      <c r="E10" s="51">
        <f>(D10/B10)</f>
        <v>0</v>
      </c>
    </row>
    <row r="11" spans="1:5" ht="15" x14ac:dyDescent="0.35">
      <c r="A11" s="167"/>
      <c r="B11" s="69"/>
      <c r="C11" s="69"/>
      <c r="D11" s="11"/>
      <c r="E11" s="6"/>
    </row>
    <row r="12" spans="1:5" x14ac:dyDescent="0.2">
      <c r="A12" s="167" t="s">
        <v>0</v>
      </c>
      <c r="B12" s="108"/>
      <c r="C12" s="108"/>
      <c r="D12" s="11"/>
      <c r="E12" s="6"/>
    </row>
    <row r="13" spans="1:5" x14ac:dyDescent="0.2">
      <c r="A13" s="144" t="s">
        <v>11</v>
      </c>
      <c r="B13" s="88"/>
      <c r="C13" s="88"/>
      <c r="D13" s="11"/>
      <c r="E13" s="6"/>
    </row>
    <row r="14" spans="1:5" x14ac:dyDescent="0.2">
      <c r="A14" s="58" t="s">
        <v>361</v>
      </c>
      <c r="B14" s="303">
        <f>2*8*100</f>
        <v>1600</v>
      </c>
      <c r="C14" s="303">
        <f>2*8*100</f>
        <v>1600</v>
      </c>
      <c r="D14" s="11">
        <f>C14-B14</f>
        <v>0</v>
      </c>
      <c r="E14" s="51">
        <f>(D14/B14)</f>
        <v>0</v>
      </c>
    </row>
    <row r="15" spans="1:5" x14ac:dyDescent="0.2">
      <c r="A15" s="151" t="s">
        <v>87</v>
      </c>
      <c r="B15" s="125">
        <v>270</v>
      </c>
      <c r="C15" s="125">
        <v>270</v>
      </c>
      <c r="D15" s="155">
        <f>C15-B15</f>
        <v>0</v>
      </c>
      <c r="E15" s="139">
        <f>(D15/B15)</f>
        <v>0</v>
      </c>
    </row>
    <row r="16" spans="1:5" x14ac:dyDescent="0.2">
      <c r="A16" s="168"/>
      <c r="B16" s="91">
        <f>SUM(B14:B15)</f>
        <v>1870</v>
      </c>
      <c r="C16" s="91">
        <f>SUM(C14:C15)</f>
        <v>1870</v>
      </c>
      <c r="D16" s="11">
        <f>SUM(D14:D15)</f>
        <v>0</v>
      </c>
      <c r="E16" s="51">
        <f>(D16/B16)</f>
        <v>0</v>
      </c>
    </row>
    <row r="17" spans="1:5" ht="15" x14ac:dyDescent="0.35">
      <c r="A17" s="150" t="s">
        <v>12</v>
      </c>
      <c r="B17" s="69"/>
      <c r="C17" s="69"/>
      <c r="D17" s="178"/>
      <c r="E17" s="6"/>
    </row>
    <row r="18" spans="1:5" x14ac:dyDescent="0.2">
      <c r="A18" s="167" t="s">
        <v>88</v>
      </c>
      <c r="B18" s="91">
        <v>1000</v>
      </c>
      <c r="C18" s="91">
        <v>1000</v>
      </c>
      <c r="D18" s="11">
        <f>C18-B18</f>
        <v>0</v>
      </c>
      <c r="E18" s="51">
        <f>(D18/B18)</f>
        <v>0</v>
      </c>
    </row>
    <row r="19" spans="1:5" x14ac:dyDescent="0.2">
      <c r="A19" s="167"/>
      <c r="B19" s="108"/>
      <c r="C19" s="108"/>
      <c r="D19" s="11"/>
      <c r="E19" s="6"/>
    </row>
    <row r="20" spans="1:5" x14ac:dyDescent="0.2">
      <c r="A20" s="144" t="s">
        <v>13</v>
      </c>
      <c r="B20" s="108"/>
      <c r="C20" s="108"/>
      <c r="D20" s="11"/>
      <c r="E20" s="6"/>
    </row>
    <row r="21" spans="1:5" x14ac:dyDescent="0.2">
      <c r="A21" s="58" t="s">
        <v>352</v>
      </c>
      <c r="B21" s="108">
        <v>2360</v>
      </c>
      <c r="C21" s="108">
        <v>2360</v>
      </c>
      <c r="D21" s="11">
        <f>C21-B21</f>
        <v>0</v>
      </c>
      <c r="E21" s="51">
        <f>(D21/B21)</f>
        <v>0</v>
      </c>
    </row>
    <row r="22" spans="1:5" x14ac:dyDescent="0.2">
      <c r="A22" s="167"/>
      <c r="B22" s="88"/>
      <c r="C22" s="88"/>
      <c r="D22" s="30"/>
      <c r="E22" s="6"/>
    </row>
    <row r="23" spans="1:5" x14ac:dyDescent="0.2">
      <c r="A23" s="144" t="s">
        <v>412</v>
      </c>
      <c r="B23" s="88"/>
      <c r="C23" s="88"/>
      <c r="D23" s="30"/>
      <c r="E23" s="6"/>
    </row>
    <row r="24" spans="1:5" x14ac:dyDescent="0.2">
      <c r="A24" s="167" t="s">
        <v>89</v>
      </c>
      <c r="B24" s="88">
        <v>1500</v>
      </c>
      <c r="C24" s="88">
        <v>2000</v>
      </c>
      <c r="D24" s="11">
        <f>C24-B24</f>
        <v>500</v>
      </c>
      <c r="E24" s="51">
        <f>(D24/B24)</f>
        <v>0.33333333333333331</v>
      </c>
    </row>
    <row r="25" spans="1:5" x14ac:dyDescent="0.2">
      <c r="A25" s="167"/>
      <c r="B25" s="88"/>
      <c r="C25" s="88"/>
      <c r="D25" s="30"/>
      <c r="E25" s="6"/>
    </row>
    <row r="26" spans="1:5" x14ac:dyDescent="0.2">
      <c r="A26" s="144" t="s">
        <v>14</v>
      </c>
      <c r="B26" s="88"/>
      <c r="C26" s="88"/>
      <c r="D26" s="13"/>
      <c r="E26" s="6"/>
    </row>
    <row r="27" spans="1:5" x14ac:dyDescent="0.2">
      <c r="A27" s="167" t="s">
        <v>89</v>
      </c>
      <c r="B27" s="303">
        <v>150</v>
      </c>
      <c r="C27" s="303">
        <v>0</v>
      </c>
      <c r="D27" s="13">
        <f>C27-B27</f>
        <v>-150</v>
      </c>
      <c r="E27" s="80">
        <f>(D27/B27)</f>
        <v>-1</v>
      </c>
    </row>
    <row r="28" spans="1:5" x14ac:dyDescent="0.2">
      <c r="A28" s="167"/>
      <c r="B28" s="88"/>
      <c r="C28" s="88"/>
      <c r="D28" s="13"/>
      <c r="E28" s="1"/>
    </row>
    <row r="29" spans="1:5" x14ac:dyDescent="0.2">
      <c r="A29" s="144" t="s">
        <v>16</v>
      </c>
      <c r="B29" s="88"/>
      <c r="C29" s="88"/>
      <c r="D29" s="13"/>
      <c r="E29" s="1"/>
    </row>
    <row r="30" spans="1:5" x14ac:dyDescent="0.2">
      <c r="A30" s="58" t="s">
        <v>224</v>
      </c>
      <c r="B30" s="303">
        <v>250</v>
      </c>
      <c r="C30" s="303">
        <v>0</v>
      </c>
      <c r="D30" s="13">
        <f>C30-B30</f>
        <v>-250</v>
      </c>
      <c r="E30" s="80">
        <f>(D30/B30)</f>
        <v>-1</v>
      </c>
    </row>
    <row r="31" spans="1:5" x14ac:dyDescent="0.2">
      <c r="A31" s="167"/>
      <c r="B31" s="88"/>
      <c r="C31" s="88"/>
      <c r="D31" s="13"/>
      <c r="E31" s="1"/>
    </row>
    <row r="32" spans="1:5" x14ac:dyDescent="0.2">
      <c r="A32" s="144" t="s">
        <v>15</v>
      </c>
      <c r="B32" s="88"/>
      <c r="C32" s="88"/>
      <c r="D32" s="13"/>
      <c r="E32" s="6"/>
    </row>
    <row r="33" spans="1:8" x14ac:dyDescent="0.2">
      <c r="A33" s="167" t="s">
        <v>72</v>
      </c>
      <c r="B33" s="303">
        <v>100</v>
      </c>
      <c r="C33" s="303">
        <v>100</v>
      </c>
      <c r="D33" s="13">
        <f>C33-B33</f>
        <v>0</v>
      </c>
      <c r="E33" s="80">
        <f>(D33/B33)</f>
        <v>0</v>
      </c>
    </row>
    <row r="34" spans="1:8" x14ac:dyDescent="0.2">
      <c r="A34" s="58" t="s">
        <v>322</v>
      </c>
      <c r="B34" s="331">
        <v>120</v>
      </c>
      <c r="C34" s="331">
        <v>0</v>
      </c>
      <c r="D34" s="92">
        <f>C34-B34</f>
        <v>-120</v>
      </c>
      <c r="E34" s="139">
        <f>(D34/B34)</f>
        <v>-1</v>
      </c>
    </row>
    <row r="35" spans="1:8" x14ac:dyDescent="0.2">
      <c r="A35" s="167"/>
      <c r="B35" s="88">
        <f>SUM(B33:B34)</f>
        <v>220</v>
      </c>
      <c r="C35" s="88">
        <f>SUM(C33:C34)</f>
        <v>100</v>
      </c>
      <c r="D35" s="13">
        <f>SUM(D33:D34)</f>
        <v>-120</v>
      </c>
      <c r="E35" s="80">
        <f>(D35/B35)</f>
        <v>-0.54545454545454541</v>
      </c>
      <c r="H35" s="60"/>
    </row>
    <row r="36" spans="1:8" x14ac:dyDescent="0.2">
      <c r="A36" s="6"/>
      <c r="B36" s="6"/>
      <c r="C36" s="6"/>
      <c r="E36" s="6"/>
    </row>
    <row r="37" spans="1:8" ht="15.75" thickBot="1" x14ac:dyDescent="0.3">
      <c r="A37" s="166" t="s">
        <v>22</v>
      </c>
      <c r="B37" s="142">
        <f>+B33+B30+B27+B21+B18+B16+B10+B34+B24</f>
        <v>8715</v>
      </c>
      <c r="C37" s="142">
        <f>+C33+C30+C27+C21+C18+C16+C10+C34+C24</f>
        <v>8695</v>
      </c>
      <c r="D37" s="142">
        <f>+D33+D30+D27+D21+D18+D16+D10+D34+D24</f>
        <v>-20</v>
      </c>
      <c r="E37" s="143">
        <f>(D37/B37)</f>
        <v>-2.2948938611589212E-3</v>
      </c>
    </row>
    <row r="38" spans="1:8" ht="13.5" thickTop="1" x14ac:dyDescent="0.2">
      <c r="A38" s="146"/>
      <c r="B38" s="47"/>
      <c r="C38" s="47"/>
      <c r="D38" s="47"/>
      <c r="E38" s="149"/>
    </row>
  </sheetData>
  <phoneticPr fontId="0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0"/>
  <dimension ref="A1:H67"/>
  <sheetViews>
    <sheetView showGridLines="0" topLeftCell="A23" zoomScaleNormal="100" workbookViewId="0">
      <selection activeCell="G23" sqref="G1:G1048576"/>
    </sheetView>
  </sheetViews>
  <sheetFormatPr defaultColWidth="8.7109375" defaultRowHeight="12.75" x14ac:dyDescent="0.2"/>
  <cols>
    <col min="1" max="1" width="45" bestFit="1" customWidth="1"/>
    <col min="2" max="2" width="10.7109375" customWidth="1"/>
    <col min="3" max="3" width="11.28515625" bestFit="1" customWidth="1"/>
    <col min="4" max="4" width="10.28515625" bestFit="1" customWidth="1"/>
    <col min="5" max="5" width="9.28515625" bestFit="1" customWidth="1"/>
  </cols>
  <sheetData>
    <row r="1" spans="1:5" ht="15.75" x14ac:dyDescent="0.25">
      <c r="A1" s="3" t="str">
        <f>'Ann Sess'!A1</f>
        <v>2026 Budget</v>
      </c>
      <c r="B1" s="3" t="s">
        <v>206</v>
      </c>
    </row>
    <row r="2" spans="1:5" ht="15.75" x14ac:dyDescent="0.25">
      <c r="A2" s="359" t="str">
        <f>'Ann Sess'!A2</f>
        <v>1st Draft</v>
      </c>
      <c r="B2" s="3"/>
    </row>
    <row r="3" spans="1:5" ht="15.75" x14ac:dyDescent="0.25">
      <c r="B3" s="3" t="s">
        <v>38</v>
      </c>
    </row>
    <row r="4" spans="1:5" x14ac:dyDescent="0.2">
      <c r="D4" s="7" t="s">
        <v>0</v>
      </c>
    </row>
    <row r="5" spans="1:5" ht="15" x14ac:dyDescent="0.25">
      <c r="A5" s="63" t="s">
        <v>26</v>
      </c>
      <c r="B5" s="63">
        <f>'Ann Sess'!B5</f>
        <v>2025</v>
      </c>
      <c r="C5" s="63">
        <f>'Ann Sess'!C5</f>
        <v>2026</v>
      </c>
      <c r="D5" s="4" t="s">
        <v>44</v>
      </c>
      <c r="E5" s="49" t="s">
        <v>44</v>
      </c>
    </row>
    <row r="6" spans="1:5" ht="15" x14ac:dyDescent="0.25">
      <c r="A6" s="46" t="s">
        <v>41</v>
      </c>
      <c r="B6" s="46" t="s">
        <v>43</v>
      </c>
      <c r="C6" s="46" t="s">
        <v>120</v>
      </c>
      <c r="D6" s="5" t="s">
        <v>45</v>
      </c>
      <c r="E6" s="46" t="s">
        <v>46</v>
      </c>
    </row>
    <row r="7" spans="1:5" x14ac:dyDescent="0.2">
      <c r="A7" s="6"/>
      <c r="B7" s="6"/>
      <c r="C7" s="6"/>
      <c r="D7" s="6"/>
      <c r="E7" s="6"/>
    </row>
    <row r="8" spans="1:5" x14ac:dyDescent="0.2">
      <c r="A8" s="144" t="s">
        <v>10</v>
      </c>
      <c r="B8" s="6"/>
      <c r="C8" s="6"/>
      <c r="D8" s="6"/>
      <c r="E8" s="6"/>
    </row>
    <row r="9" spans="1:5" x14ac:dyDescent="0.2">
      <c r="A9" s="58" t="s">
        <v>450</v>
      </c>
      <c r="B9" s="108">
        <v>1650</v>
      </c>
      <c r="C9" s="108">
        <f>11*150</f>
        <v>1650</v>
      </c>
      <c r="D9" s="11">
        <f>C9-B9</f>
        <v>0</v>
      </c>
      <c r="E9" s="51">
        <f>(D9/B9)</f>
        <v>0</v>
      </c>
    </row>
    <row r="10" spans="1:5" x14ac:dyDescent="0.2">
      <c r="A10" s="151" t="s">
        <v>458</v>
      </c>
      <c r="B10" s="87">
        <v>26000</v>
      </c>
      <c r="C10" s="87">
        <v>26000</v>
      </c>
      <c r="D10" s="326">
        <f>C10-B10</f>
        <v>0</v>
      </c>
      <c r="E10" s="102">
        <f>(D10/B10)</f>
        <v>0</v>
      </c>
    </row>
    <row r="11" spans="1:5" s="41" customFormat="1" x14ac:dyDescent="0.2">
      <c r="A11" s="167" t="s">
        <v>0</v>
      </c>
      <c r="B11" s="108">
        <f>SUM(B9:B10)</f>
        <v>27650</v>
      </c>
      <c r="C11" s="108">
        <f>SUM(C9:C10)</f>
        <v>27650</v>
      </c>
      <c r="D11" s="33">
        <f>SUM(D9:D10)</f>
        <v>0</v>
      </c>
      <c r="E11" s="51">
        <f>(D11/B11)</f>
        <v>0</v>
      </c>
    </row>
    <row r="12" spans="1:5" x14ac:dyDescent="0.2">
      <c r="A12" s="144" t="s">
        <v>11</v>
      </c>
      <c r="B12" s="13"/>
      <c r="C12" s="13"/>
      <c r="D12" s="13"/>
      <c r="E12" s="6"/>
    </row>
    <row r="13" spans="1:5" x14ac:dyDescent="0.2">
      <c r="A13" s="6" t="s">
        <v>451</v>
      </c>
      <c r="B13" s="13">
        <v>2200</v>
      </c>
      <c r="C13" s="13">
        <f>2*11*100</f>
        <v>2200</v>
      </c>
      <c r="D13" s="11">
        <f>C13-B13</f>
        <v>0</v>
      </c>
      <c r="E13" s="51">
        <f>(D13/B13)</f>
        <v>0</v>
      </c>
    </row>
    <row r="14" spans="1:5" x14ac:dyDescent="0.2">
      <c r="A14" s="167" t="s">
        <v>87</v>
      </c>
      <c r="B14" s="92">
        <v>270</v>
      </c>
      <c r="C14" s="92">
        <f>2*135</f>
        <v>270</v>
      </c>
      <c r="D14" s="388">
        <f>C14-B14</f>
        <v>0</v>
      </c>
      <c r="E14" s="102">
        <f>(D14/B14)</f>
        <v>0</v>
      </c>
    </row>
    <row r="15" spans="1:5" x14ac:dyDescent="0.2">
      <c r="A15" s="167"/>
      <c r="B15" s="13">
        <f>SUM(B13:B14)</f>
        <v>2470</v>
      </c>
      <c r="C15" s="13">
        <f>SUM(C13:C14)</f>
        <v>2470</v>
      </c>
      <c r="D15" s="13">
        <f>SUM(D13:D14)</f>
        <v>0</v>
      </c>
      <c r="E15" s="51">
        <f>(D15/B15)</f>
        <v>0</v>
      </c>
    </row>
    <row r="16" spans="1:5" x14ac:dyDescent="0.2">
      <c r="A16" s="144" t="s">
        <v>13</v>
      </c>
      <c r="B16" s="13"/>
      <c r="C16" s="13"/>
      <c r="D16" s="13"/>
      <c r="E16" s="6"/>
    </row>
    <row r="17" spans="1:5" x14ac:dyDescent="0.2">
      <c r="A17" s="6" t="s">
        <v>215</v>
      </c>
      <c r="B17" s="13">
        <v>4500</v>
      </c>
      <c r="C17" s="13">
        <v>6250</v>
      </c>
      <c r="D17" s="11">
        <f>C17-B17</f>
        <v>1750</v>
      </c>
      <c r="E17" s="51">
        <f>(D17/B17)</f>
        <v>0.3888888888888889</v>
      </c>
    </row>
    <row r="18" spans="1:5" x14ac:dyDescent="0.2">
      <c r="A18" s="6" t="s">
        <v>443</v>
      </c>
      <c r="B18" s="99">
        <v>500</v>
      </c>
      <c r="C18" s="99">
        <v>500</v>
      </c>
      <c r="D18" s="155">
        <f>C18-B18</f>
        <v>0</v>
      </c>
      <c r="E18" s="139">
        <v>0</v>
      </c>
    </row>
    <row r="19" spans="1:5" x14ac:dyDescent="0.2">
      <c r="A19" s="167"/>
      <c r="B19" s="13">
        <f>SUM(B17:B18)</f>
        <v>5000</v>
      </c>
      <c r="C19" s="13">
        <f>SUM(C17:C18)</f>
        <v>6750</v>
      </c>
      <c r="D19" s="13">
        <f>SUM(D17:D18)</f>
        <v>1750</v>
      </c>
      <c r="E19" s="51">
        <f>(D19/B19)</f>
        <v>0.35</v>
      </c>
    </row>
    <row r="20" spans="1:5" x14ac:dyDescent="0.2">
      <c r="A20" s="167"/>
      <c r="B20" s="13"/>
      <c r="C20" s="13"/>
      <c r="D20" s="13"/>
      <c r="E20" s="51"/>
    </row>
    <row r="21" spans="1:5" x14ac:dyDescent="0.2">
      <c r="A21" s="144" t="s">
        <v>415</v>
      </c>
      <c r="B21" s="13"/>
      <c r="C21" s="13"/>
      <c r="D21" s="13"/>
      <c r="E21" s="6"/>
    </row>
    <row r="22" spans="1:5" x14ac:dyDescent="0.2">
      <c r="A22" s="58" t="s">
        <v>440</v>
      </c>
      <c r="B22" s="13">
        <v>450</v>
      </c>
      <c r="C22" s="13">
        <v>450</v>
      </c>
      <c r="D22" s="11">
        <f>C22-B22</f>
        <v>0</v>
      </c>
      <c r="E22" s="51">
        <f>(D22/B22)</f>
        <v>0</v>
      </c>
    </row>
    <row r="23" spans="1:5" x14ac:dyDescent="0.2">
      <c r="A23" s="58"/>
      <c r="B23" s="13"/>
      <c r="C23" s="13"/>
      <c r="D23" s="11"/>
      <c r="E23" s="51"/>
    </row>
    <row r="24" spans="1:5" x14ac:dyDescent="0.2">
      <c r="A24" s="144" t="s">
        <v>412</v>
      </c>
      <c r="B24" s="13"/>
      <c r="C24" s="13"/>
      <c r="D24" s="11"/>
      <c r="E24" s="51"/>
    </row>
    <row r="25" spans="1:5" x14ac:dyDescent="0.2">
      <c r="A25" s="58" t="s">
        <v>441</v>
      </c>
      <c r="B25" s="13">
        <v>2500</v>
      </c>
      <c r="C25" s="13">
        <v>2500</v>
      </c>
      <c r="D25" s="11">
        <f>C25-B25</f>
        <v>0</v>
      </c>
      <c r="E25" s="51">
        <f>(D25/B25)</f>
        <v>0</v>
      </c>
    </row>
    <row r="26" spans="1:5" x14ac:dyDescent="0.2">
      <c r="A26" s="58" t="s">
        <v>442</v>
      </c>
      <c r="B26" s="92">
        <v>2000</v>
      </c>
      <c r="C26" s="92">
        <v>2000</v>
      </c>
      <c r="D26" s="155">
        <f>C26-B26</f>
        <v>0</v>
      </c>
      <c r="E26" s="139">
        <f>(D26/B26)</f>
        <v>0</v>
      </c>
    </row>
    <row r="27" spans="1:5" x14ac:dyDescent="0.2">
      <c r="A27" s="58"/>
      <c r="B27" s="13">
        <f>SUM(B25:B26)</f>
        <v>4500</v>
      </c>
      <c r="C27" s="13">
        <f>SUM(C25:C26)</f>
        <v>4500</v>
      </c>
      <c r="D27" s="13">
        <f>SUM(D24:D26)</f>
        <v>0</v>
      </c>
      <c r="E27" s="51">
        <f>(D27/B27)</f>
        <v>0</v>
      </c>
    </row>
    <row r="28" spans="1:5" x14ac:dyDescent="0.2">
      <c r="A28" s="58"/>
      <c r="B28" s="13"/>
      <c r="C28" s="13"/>
      <c r="D28" s="11"/>
      <c r="E28" s="51"/>
    </row>
    <row r="29" spans="1:5" x14ac:dyDescent="0.2">
      <c r="A29" s="144" t="s">
        <v>37</v>
      </c>
      <c r="B29" s="13"/>
      <c r="C29" s="13"/>
      <c r="D29" s="13"/>
      <c r="E29" s="6"/>
    </row>
    <row r="30" spans="1:5" x14ac:dyDescent="0.2">
      <c r="A30" s="167" t="s">
        <v>90</v>
      </c>
      <c r="B30" s="13">
        <v>200</v>
      </c>
      <c r="C30" s="13">
        <v>200</v>
      </c>
      <c r="D30" s="11">
        <f>C30-B30</f>
        <v>0</v>
      </c>
      <c r="E30" s="51">
        <f>(D30/B30)</f>
        <v>0</v>
      </c>
    </row>
    <row r="31" spans="1:5" x14ac:dyDescent="0.2">
      <c r="A31" s="167"/>
      <c r="B31" s="108"/>
      <c r="C31" s="108"/>
      <c r="D31" s="13"/>
      <c r="E31" s="51"/>
    </row>
    <row r="32" spans="1:5" x14ac:dyDescent="0.2">
      <c r="A32" s="144" t="s">
        <v>14</v>
      </c>
      <c r="B32" s="88"/>
      <c r="C32" s="88"/>
      <c r="D32" s="13"/>
      <c r="E32" s="6"/>
    </row>
    <row r="33" spans="1:5" x14ac:dyDescent="0.2">
      <c r="A33" s="168" t="s">
        <v>91</v>
      </c>
      <c r="B33" s="88">
        <v>2500</v>
      </c>
      <c r="C33" s="88">
        <v>2500</v>
      </c>
      <c r="D33" s="11">
        <f>C33-B33</f>
        <v>0</v>
      </c>
      <c r="E33" s="51">
        <f>(D33/B33)</f>
        <v>0</v>
      </c>
    </row>
    <row r="34" spans="1:5" x14ac:dyDescent="0.2">
      <c r="A34" s="168" t="s">
        <v>92</v>
      </c>
      <c r="B34" s="108">
        <v>10500</v>
      </c>
      <c r="C34" s="108">
        <v>10500</v>
      </c>
      <c r="D34" s="11">
        <f>C34-B34</f>
        <v>0</v>
      </c>
      <c r="E34" s="51">
        <f>(D34/B34)</f>
        <v>0</v>
      </c>
    </row>
    <row r="35" spans="1:5" x14ac:dyDescent="0.2">
      <c r="A35" s="167" t="s">
        <v>93</v>
      </c>
      <c r="B35" s="87">
        <v>200</v>
      </c>
      <c r="C35" s="87">
        <v>200</v>
      </c>
      <c r="D35" s="155">
        <f>C35-B35</f>
        <v>0</v>
      </c>
      <c r="E35" s="139">
        <f>(D35/B35)</f>
        <v>0</v>
      </c>
    </row>
    <row r="36" spans="1:5" s="35" customFormat="1" x14ac:dyDescent="0.2">
      <c r="A36" s="168"/>
      <c r="B36" s="88">
        <f>SUM(B33:B35)</f>
        <v>13200</v>
      </c>
      <c r="C36" s="88">
        <f>SUM(C33:C35)</f>
        <v>13200</v>
      </c>
      <c r="D36" s="13">
        <f>SUM(D33:D35)</f>
        <v>0</v>
      </c>
      <c r="E36" s="51">
        <f>(D36/B36)</f>
        <v>0</v>
      </c>
    </row>
    <row r="37" spans="1:5" x14ac:dyDescent="0.2">
      <c r="A37" s="144" t="s">
        <v>16</v>
      </c>
      <c r="B37" s="88"/>
      <c r="C37" s="88"/>
      <c r="D37" s="13"/>
      <c r="E37" s="6"/>
    </row>
    <row r="38" spans="1:5" x14ac:dyDescent="0.2">
      <c r="A38" s="167" t="s">
        <v>121</v>
      </c>
      <c r="B38" s="88">
        <v>3000</v>
      </c>
      <c r="C38" s="88">
        <v>1000</v>
      </c>
      <c r="D38" s="11">
        <f>C38-B38</f>
        <v>-2000</v>
      </c>
      <c r="E38" s="51">
        <f>(D38/B38)</f>
        <v>-0.66666666666666663</v>
      </c>
    </row>
    <row r="39" spans="1:5" x14ac:dyDescent="0.2">
      <c r="A39" s="167" t="s">
        <v>122</v>
      </c>
      <c r="B39" s="87">
        <v>7000</v>
      </c>
      <c r="C39" s="87">
        <v>6000</v>
      </c>
      <c r="D39" s="155">
        <f>C39-B39</f>
        <v>-1000</v>
      </c>
      <c r="E39" s="139">
        <f>(D39/B39)</f>
        <v>-0.14285714285714285</v>
      </c>
    </row>
    <row r="40" spans="1:5" x14ac:dyDescent="0.2">
      <c r="A40" s="167"/>
      <c r="B40" s="33">
        <f>SUM(B38:B39)</f>
        <v>10000</v>
      </c>
      <c r="C40" s="33">
        <f>SUM(C38:C39)</f>
        <v>7000</v>
      </c>
      <c r="D40" s="33">
        <f>SUM(D38:D39)</f>
        <v>-3000</v>
      </c>
      <c r="E40" s="51">
        <f>(D40/B40)</f>
        <v>-0.3</v>
      </c>
    </row>
    <row r="41" spans="1:5" x14ac:dyDescent="0.2">
      <c r="A41" s="144" t="s">
        <v>15</v>
      </c>
      <c r="B41" s="13"/>
      <c r="C41" s="13"/>
      <c r="D41" s="13"/>
      <c r="E41" s="6"/>
    </row>
    <row r="42" spans="1:5" x14ac:dyDescent="0.2">
      <c r="A42" s="6" t="s">
        <v>480</v>
      </c>
      <c r="B42" s="88">
        <v>0</v>
      </c>
      <c r="C42" s="88">
        <v>100</v>
      </c>
      <c r="D42" s="11">
        <f>C42-B42</f>
        <v>100</v>
      </c>
      <c r="E42" s="51" t="e">
        <f>(D42/B42)</f>
        <v>#DIV/0!</v>
      </c>
    </row>
    <row r="43" spans="1:5" x14ac:dyDescent="0.2">
      <c r="A43" s="167"/>
      <c r="B43" s="13"/>
      <c r="C43" s="13"/>
      <c r="D43" s="13"/>
      <c r="E43" s="51"/>
    </row>
    <row r="44" spans="1:5" x14ac:dyDescent="0.2">
      <c r="A44" s="167"/>
      <c r="B44" s="13"/>
      <c r="C44" s="13"/>
      <c r="D44" s="13"/>
      <c r="E44" s="51"/>
    </row>
    <row r="45" spans="1:5" x14ac:dyDescent="0.2">
      <c r="A45" s="144" t="s">
        <v>427</v>
      </c>
      <c r="B45" s="13"/>
      <c r="C45" s="13"/>
      <c r="D45" s="13"/>
      <c r="E45" s="51"/>
    </row>
    <row r="46" spans="1:5" x14ac:dyDescent="0.2">
      <c r="A46" s="167" t="s">
        <v>94</v>
      </c>
      <c r="B46" s="13">
        <v>57000</v>
      </c>
      <c r="C46" s="229">
        <v>49000</v>
      </c>
      <c r="D46" s="11">
        <f>C46-B46</f>
        <v>-8000</v>
      </c>
      <c r="E46" s="51">
        <f>(D46/B46)</f>
        <v>-0.14035087719298245</v>
      </c>
    </row>
    <row r="47" spans="1:5" x14ac:dyDescent="0.2">
      <c r="A47" s="181"/>
      <c r="B47" s="13"/>
      <c r="C47" s="13"/>
      <c r="D47" s="13"/>
      <c r="E47" s="6"/>
    </row>
    <row r="48" spans="1:5" x14ac:dyDescent="0.2">
      <c r="A48" s="291"/>
      <c r="B48" s="108"/>
      <c r="C48" s="108"/>
      <c r="D48" s="91"/>
      <c r="E48" s="51"/>
    </row>
    <row r="49" spans="1:8" x14ac:dyDescent="0.2">
      <c r="A49" s="151"/>
      <c r="B49" s="17"/>
      <c r="C49" s="17"/>
      <c r="D49" s="11"/>
      <c r="E49" s="51"/>
    </row>
    <row r="50" spans="1:8" ht="15.75" thickBot="1" x14ac:dyDescent="0.3">
      <c r="A50" s="182" t="s">
        <v>22</v>
      </c>
      <c r="B50" s="156">
        <f>SUM(B11,B15,B19,B30,B36, B40, B42, B46+B22+B27)</f>
        <v>120470</v>
      </c>
      <c r="C50" s="156">
        <f>SUM(C11,C15,C19,C30,C36, C40, C42, C46+C22+C27)</f>
        <v>111320</v>
      </c>
      <c r="D50" s="156">
        <f>SUM(D11,D15,D19,D30,D36, D40, D42, D46+D22+D27)</f>
        <v>-9150</v>
      </c>
      <c r="E50" s="143">
        <f>(D50/B50)</f>
        <v>-7.5952519299410645E-2</v>
      </c>
      <c r="H50" s="38"/>
    </row>
    <row r="51" spans="1:8" s="35" customFormat="1" ht="13.5" thickTop="1" x14ac:dyDescent="0.2">
      <c r="A51" s="146"/>
      <c r="B51" s="47"/>
      <c r="C51" s="47"/>
      <c r="D51" s="47"/>
      <c r="E51" s="149"/>
    </row>
    <row r="52" spans="1:8" x14ac:dyDescent="0.2">
      <c r="C52" s="73"/>
    </row>
    <row r="60" spans="1:8" x14ac:dyDescent="0.2">
      <c r="B60" s="14"/>
    </row>
    <row r="61" spans="1:8" x14ac:dyDescent="0.2">
      <c r="C61" s="14"/>
    </row>
    <row r="67" spans="3:3" x14ac:dyDescent="0.2">
      <c r="C67" s="30"/>
    </row>
  </sheetData>
  <phoneticPr fontId="0" type="noConversion"/>
  <pageMargins left="1" right="0.5" top="1" bottom="1" header="0.5" footer="0.5"/>
  <pageSetup orientation="portrait" horizontalDpi="300" verticalDpi="300" r:id="rId1"/>
  <headerFooter alignWithMargins="0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2"/>
  <dimension ref="A1:E41"/>
  <sheetViews>
    <sheetView showGridLines="0" topLeftCell="A3" zoomScaleNormal="100" workbookViewId="0">
      <selection activeCell="C38" sqref="C38"/>
    </sheetView>
  </sheetViews>
  <sheetFormatPr defaultColWidth="8.7109375" defaultRowHeight="12.75" x14ac:dyDescent="0.2"/>
  <cols>
    <col min="1" max="1" width="42.7109375" customWidth="1"/>
    <col min="2" max="2" width="10.7109375" customWidth="1"/>
    <col min="3" max="3" width="10.7109375" bestFit="1" customWidth="1"/>
    <col min="4" max="5" width="9.7109375" bestFit="1" customWidth="1"/>
  </cols>
  <sheetData>
    <row r="1" spans="1:5" ht="15.75" x14ac:dyDescent="0.25">
      <c r="A1" s="3" t="str">
        <f>'Ann Sess'!A1</f>
        <v>2026 Budget</v>
      </c>
      <c r="B1" s="3" t="s">
        <v>205</v>
      </c>
    </row>
    <row r="2" spans="1:5" ht="15.75" x14ac:dyDescent="0.25">
      <c r="A2" s="359" t="str">
        <f>'Ann Sess'!A2</f>
        <v>1st Draft</v>
      </c>
      <c r="B2" s="3"/>
      <c r="C2" s="3"/>
    </row>
    <row r="3" spans="1:5" ht="15.75" x14ac:dyDescent="0.25">
      <c r="A3" s="85"/>
      <c r="B3" s="3" t="s">
        <v>202</v>
      </c>
    </row>
    <row r="4" spans="1:5" x14ac:dyDescent="0.2">
      <c r="D4" s="7" t="s">
        <v>0</v>
      </c>
    </row>
    <row r="5" spans="1:5" s="64" customFormat="1" ht="15" x14ac:dyDescent="0.25">
      <c r="A5" s="63" t="s">
        <v>26</v>
      </c>
      <c r="B5" s="63">
        <f>'Ann Sess'!B5</f>
        <v>2025</v>
      </c>
      <c r="C5" s="63">
        <f>'Ann Sess'!C5</f>
        <v>2026</v>
      </c>
      <c r="D5" s="4" t="s">
        <v>44</v>
      </c>
      <c r="E5" s="63" t="s">
        <v>44</v>
      </c>
    </row>
    <row r="6" spans="1:5" s="64" customFormat="1" ht="15" x14ac:dyDescent="0.25">
      <c r="A6" s="46" t="s">
        <v>41</v>
      </c>
      <c r="B6" s="46" t="s">
        <v>43</v>
      </c>
      <c r="C6" s="46" t="s">
        <v>120</v>
      </c>
      <c r="D6" s="5" t="s">
        <v>45</v>
      </c>
      <c r="E6" s="46" t="s">
        <v>46</v>
      </c>
    </row>
    <row r="7" spans="1:5" x14ac:dyDescent="0.2">
      <c r="A7" s="6"/>
      <c r="B7" s="13"/>
      <c r="C7" s="13"/>
      <c r="D7" s="31"/>
      <c r="E7" s="6"/>
    </row>
    <row r="8" spans="1:5" x14ac:dyDescent="0.2">
      <c r="A8" s="144" t="s">
        <v>10</v>
      </c>
      <c r="B8" s="13" t="s">
        <v>0</v>
      </c>
      <c r="C8" s="13" t="s">
        <v>0</v>
      </c>
      <c r="D8" s="31"/>
      <c r="E8" s="6"/>
    </row>
    <row r="9" spans="1:5" x14ac:dyDescent="0.2">
      <c r="A9" s="58" t="s">
        <v>453</v>
      </c>
      <c r="B9" s="13">
        <v>1800</v>
      </c>
      <c r="C9" s="13">
        <f>12*150</f>
        <v>1800</v>
      </c>
      <c r="D9" s="11">
        <f>C9-B9</f>
        <v>0</v>
      </c>
      <c r="E9" s="51">
        <f>(D9/B9)</f>
        <v>0</v>
      </c>
    </row>
    <row r="10" spans="1:5" x14ac:dyDescent="0.2">
      <c r="A10" s="2" t="s">
        <v>452</v>
      </c>
      <c r="B10" s="99">
        <v>25000</v>
      </c>
      <c r="C10" s="99">
        <v>1500</v>
      </c>
      <c r="D10" s="124">
        <f>C10-B10</f>
        <v>-23500</v>
      </c>
      <c r="E10" s="139">
        <v>1</v>
      </c>
    </row>
    <row r="11" spans="1:5" x14ac:dyDescent="0.2">
      <c r="A11" s="167"/>
      <c r="B11" s="13">
        <f>SUM(B9:B10)</f>
        <v>26800</v>
      </c>
      <c r="C11" s="13">
        <f>SUM(C9:C10)</f>
        <v>3300</v>
      </c>
      <c r="D11" s="13">
        <f>SUM(D9:D10)</f>
        <v>-23500</v>
      </c>
      <c r="E11" s="51">
        <f>(D11/B11)</f>
        <v>-0.87686567164179108</v>
      </c>
    </row>
    <row r="12" spans="1:5" x14ac:dyDescent="0.2">
      <c r="A12" s="144" t="s">
        <v>11</v>
      </c>
      <c r="B12" s="13"/>
      <c r="C12" s="13"/>
      <c r="D12" s="11" t="s">
        <v>0</v>
      </c>
      <c r="E12" s="51" t="s">
        <v>0</v>
      </c>
    </row>
    <row r="13" spans="1:5" x14ac:dyDescent="0.2">
      <c r="A13" s="58" t="s">
        <v>454</v>
      </c>
      <c r="B13" s="285">
        <v>2200</v>
      </c>
      <c r="C13" s="285">
        <f>2*11*100</f>
        <v>2200</v>
      </c>
      <c r="D13" s="11">
        <f>C13-B13</f>
        <v>0</v>
      </c>
      <c r="E13" s="51">
        <f>(D13/B13)</f>
        <v>0</v>
      </c>
    </row>
    <row r="14" spans="1:5" x14ac:dyDescent="0.2">
      <c r="A14" s="167" t="s">
        <v>95</v>
      </c>
      <c r="B14" s="87">
        <v>540</v>
      </c>
      <c r="C14" s="87">
        <f>4*135</f>
        <v>540</v>
      </c>
      <c r="D14" s="155">
        <f>C14-B14</f>
        <v>0</v>
      </c>
      <c r="E14" s="139">
        <f>(D14/B14)</f>
        <v>0</v>
      </c>
    </row>
    <row r="15" spans="1:5" x14ac:dyDescent="0.2">
      <c r="A15" s="167"/>
      <c r="B15" s="108">
        <f>SUM(B13:B14)</f>
        <v>2740</v>
      </c>
      <c r="C15" s="108">
        <f>SUM(C13:C14)</f>
        <v>2740</v>
      </c>
      <c r="D15" s="13">
        <f>SUM(D13:D14)</f>
        <v>0</v>
      </c>
      <c r="E15" s="51">
        <f>(D15/B15)</f>
        <v>0</v>
      </c>
    </row>
    <row r="16" spans="1:5" x14ac:dyDescent="0.2">
      <c r="A16" s="167"/>
      <c r="B16" s="13"/>
      <c r="C16" s="13"/>
      <c r="D16" s="11"/>
      <c r="E16" s="51"/>
    </row>
    <row r="17" spans="1:5" x14ac:dyDescent="0.2">
      <c r="A17" s="144" t="s">
        <v>13</v>
      </c>
      <c r="B17" s="13"/>
      <c r="C17" s="13"/>
      <c r="D17" s="11" t="s">
        <v>0</v>
      </c>
      <c r="E17" s="51" t="s">
        <v>0</v>
      </c>
    </row>
    <row r="18" spans="1:5" x14ac:dyDescent="0.2">
      <c r="A18" s="58" t="s">
        <v>500</v>
      </c>
      <c r="B18" s="99">
        <v>1500</v>
      </c>
      <c r="C18" s="99">
        <v>400</v>
      </c>
      <c r="D18" s="155">
        <f>C18-B18</f>
        <v>-1100</v>
      </c>
      <c r="E18" s="139">
        <f>(D18/B18)</f>
        <v>-0.73333333333333328</v>
      </c>
    </row>
    <row r="19" spans="1:5" x14ac:dyDescent="0.2">
      <c r="A19" s="167"/>
      <c r="B19" s="13">
        <f>SUM(B18:B18)</f>
        <v>1500</v>
      </c>
      <c r="C19" s="13">
        <f>SUM(C18:C18)</f>
        <v>400</v>
      </c>
      <c r="D19" s="13">
        <f>SUM(D18:D18)</f>
        <v>-1100</v>
      </c>
      <c r="E19" s="51">
        <f>(D19/B19)</f>
        <v>-0.73333333333333328</v>
      </c>
    </row>
    <row r="20" spans="1:5" x14ac:dyDescent="0.2">
      <c r="A20" s="144" t="s">
        <v>36</v>
      </c>
      <c r="B20" s="13"/>
      <c r="C20" s="13"/>
      <c r="D20" s="11" t="s">
        <v>0</v>
      </c>
      <c r="E20" s="51" t="s">
        <v>0</v>
      </c>
    </row>
    <row r="21" spans="1:5" x14ac:dyDescent="0.2">
      <c r="A21" s="167" t="s">
        <v>96</v>
      </c>
      <c r="B21" s="108">
        <v>500</v>
      </c>
      <c r="C21" s="108">
        <v>500</v>
      </c>
      <c r="D21" s="138">
        <f>C21-B21</f>
        <v>0</v>
      </c>
      <c r="E21" s="154">
        <f>(D21/B21)</f>
        <v>0</v>
      </c>
    </row>
    <row r="22" spans="1:5" x14ac:dyDescent="0.2">
      <c r="A22" s="167"/>
      <c r="B22" s="13"/>
      <c r="C22" s="13"/>
      <c r="D22" s="11"/>
      <c r="E22" s="51"/>
    </row>
    <row r="23" spans="1:5" x14ac:dyDescent="0.2">
      <c r="A23" s="144" t="s">
        <v>14</v>
      </c>
      <c r="B23" s="13"/>
      <c r="C23" s="13"/>
      <c r="D23" s="11" t="s">
        <v>0</v>
      </c>
      <c r="E23" s="51" t="s">
        <v>0</v>
      </c>
    </row>
    <row r="24" spans="1:5" x14ac:dyDescent="0.2">
      <c r="A24" s="58" t="s">
        <v>72</v>
      </c>
      <c r="B24" s="33">
        <v>1000</v>
      </c>
      <c r="C24" s="33">
        <v>50</v>
      </c>
      <c r="D24" s="138">
        <f>C24-B24</f>
        <v>-950</v>
      </c>
      <c r="E24" s="154">
        <f>(D24/B24)</f>
        <v>-0.95</v>
      </c>
    </row>
    <row r="25" spans="1:5" x14ac:dyDescent="0.2">
      <c r="A25" s="167"/>
      <c r="B25" s="33"/>
      <c r="C25" s="33"/>
      <c r="D25" s="11"/>
      <c r="E25" s="51"/>
    </row>
    <row r="26" spans="1:5" x14ac:dyDescent="0.2">
      <c r="A26" s="144" t="s">
        <v>16</v>
      </c>
      <c r="B26" s="13"/>
      <c r="C26" s="13"/>
      <c r="D26" s="11" t="s">
        <v>0</v>
      </c>
      <c r="E26" s="51" t="s">
        <v>0</v>
      </c>
    </row>
    <row r="27" spans="1:5" x14ac:dyDescent="0.2">
      <c r="A27" s="58" t="s">
        <v>72</v>
      </c>
      <c r="B27" s="108">
        <v>100</v>
      </c>
      <c r="C27" s="108">
        <v>50</v>
      </c>
      <c r="D27" s="138">
        <f>C27-B27</f>
        <v>-50</v>
      </c>
      <c r="E27" s="154">
        <f>(D27/B27)</f>
        <v>-0.5</v>
      </c>
    </row>
    <row r="28" spans="1:5" x14ac:dyDescent="0.2">
      <c r="A28" s="167"/>
      <c r="B28" s="33"/>
      <c r="C28" s="33"/>
      <c r="D28" s="11"/>
      <c r="E28" s="51"/>
    </row>
    <row r="29" spans="1:5" x14ac:dyDescent="0.2">
      <c r="A29" s="144" t="s">
        <v>15</v>
      </c>
      <c r="B29" s="33"/>
      <c r="C29" s="33"/>
      <c r="D29" s="138" t="s">
        <v>0</v>
      </c>
      <c r="E29" s="154" t="s">
        <v>0</v>
      </c>
    </row>
    <row r="30" spans="1:5" x14ac:dyDescent="0.2">
      <c r="A30" s="58" t="s">
        <v>89</v>
      </c>
      <c r="B30" s="33">
        <v>350</v>
      </c>
      <c r="C30" s="33">
        <v>200</v>
      </c>
      <c r="D30" s="138">
        <f>C30-B30</f>
        <v>-150</v>
      </c>
      <c r="E30" s="154">
        <f>(D30/B30)</f>
        <v>-0.42857142857142855</v>
      </c>
    </row>
    <row r="31" spans="1:5" x14ac:dyDescent="0.2">
      <c r="A31" s="168"/>
      <c r="B31" s="152"/>
      <c r="C31" s="152"/>
      <c r="D31" s="138"/>
      <c r="E31" s="154"/>
    </row>
    <row r="32" spans="1:5" hidden="1" x14ac:dyDescent="0.2">
      <c r="A32" s="144"/>
      <c r="B32" s="152"/>
      <c r="C32" s="152"/>
      <c r="D32" s="138"/>
      <c r="E32" s="154"/>
    </row>
    <row r="33" spans="1:5" hidden="1" x14ac:dyDescent="0.2">
      <c r="A33" s="325"/>
      <c r="B33" s="152"/>
      <c r="C33" s="152"/>
      <c r="D33" s="138"/>
      <c r="E33" s="154"/>
    </row>
    <row r="34" spans="1:5" hidden="1" x14ac:dyDescent="0.2">
      <c r="A34" s="168"/>
      <c r="B34" s="13"/>
      <c r="C34" s="13"/>
      <c r="D34" s="11"/>
      <c r="E34" s="51"/>
    </row>
    <row r="35" spans="1:5" ht="15" hidden="1" x14ac:dyDescent="0.35">
      <c r="A35" s="6"/>
      <c r="B35" s="26"/>
      <c r="C35" s="26"/>
      <c r="D35" s="11" t="s">
        <v>0</v>
      </c>
      <c r="E35" s="51" t="s">
        <v>0</v>
      </c>
    </row>
    <row r="36" spans="1:5" ht="15" x14ac:dyDescent="0.35">
      <c r="A36" s="6"/>
      <c r="B36" s="26"/>
      <c r="C36" s="26"/>
      <c r="D36" s="11" t="s">
        <v>0</v>
      </c>
      <c r="E36" s="51" t="s">
        <v>0</v>
      </c>
    </row>
    <row r="37" spans="1:5" ht="13.5" thickBot="1" x14ac:dyDescent="0.25">
      <c r="A37" s="175" t="s">
        <v>22</v>
      </c>
      <c r="B37" s="156">
        <f>B33+B30+B27+B24+B21+B19+B15+B11</f>
        <v>32990</v>
      </c>
      <c r="C37" s="156">
        <f>SUM(C3+C11+C15+C19+C21+C24+C30+C33+C27)</f>
        <v>7240</v>
      </c>
      <c r="D37" s="156">
        <f>SUM(D11+D15+D19+D21+D24+D27+D30+D33)</f>
        <v>-25750</v>
      </c>
      <c r="E37" s="143">
        <f>(D37/B37)</f>
        <v>-0.78053955744164893</v>
      </c>
    </row>
    <row r="38" spans="1:5" ht="13.5" thickTop="1" x14ac:dyDescent="0.2">
      <c r="A38" s="146"/>
      <c r="B38" s="47"/>
      <c r="C38" s="47"/>
      <c r="D38" s="47"/>
      <c r="E38" s="149"/>
    </row>
    <row r="41" spans="1:5" ht="10.5" customHeight="1" x14ac:dyDescent="0.2"/>
  </sheetData>
  <phoneticPr fontId="0" type="noConversion"/>
  <pageMargins left="1" right="0.5" top="1" bottom="1" header="0.5" footer="0.5"/>
  <pageSetup orientation="portrait" horizontalDpi="300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E32"/>
  <sheetViews>
    <sheetView showGridLines="0" zoomScaleNormal="100" workbookViewId="0">
      <selection activeCell="G6" sqref="G1:G1048576"/>
    </sheetView>
  </sheetViews>
  <sheetFormatPr defaultColWidth="8.7109375" defaultRowHeight="12.75" x14ac:dyDescent="0.2"/>
  <cols>
    <col min="1" max="1" width="32.42578125" bestFit="1" customWidth="1"/>
    <col min="2" max="2" width="10.7109375" customWidth="1"/>
    <col min="3" max="3" width="10.7109375" bestFit="1" customWidth="1"/>
    <col min="4" max="4" width="9.7109375" bestFit="1" customWidth="1"/>
    <col min="5" max="5" width="9.28515625" bestFit="1" customWidth="1"/>
  </cols>
  <sheetData>
    <row r="1" spans="1:5" ht="15.75" x14ac:dyDescent="0.25">
      <c r="A1" s="3" t="str">
        <f>'Ann Sess'!A1</f>
        <v>2026 Budget</v>
      </c>
      <c r="B1" s="3" t="s">
        <v>3</v>
      </c>
    </row>
    <row r="2" spans="1:5" ht="15.75" x14ac:dyDescent="0.25">
      <c r="A2" s="359" t="str">
        <f>'Ann Sess'!A2</f>
        <v>1st Draft</v>
      </c>
      <c r="B2" s="3"/>
    </row>
    <row r="3" spans="1:5" ht="15.75" x14ac:dyDescent="0.25">
      <c r="A3" s="100"/>
      <c r="B3" s="3" t="s">
        <v>396</v>
      </c>
    </row>
    <row r="4" spans="1:5" x14ac:dyDescent="0.2">
      <c r="D4" s="7" t="s">
        <v>0</v>
      </c>
      <c r="E4" s="47"/>
    </row>
    <row r="5" spans="1:5" ht="15" x14ac:dyDescent="0.25">
      <c r="A5" s="63" t="s">
        <v>26</v>
      </c>
      <c r="B5" s="63">
        <f>'Ann Sess'!B5</f>
        <v>2025</v>
      </c>
      <c r="C5" s="63">
        <f>'Ann Sess'!C5</f>
        <v>2026</v>
      </c>
      <c r="D5" s="4" t="s">
        <v>44</v>
      </c>
      <c r="E5" s="55" t="s">
        <v>44</v>
      </c>
    </row>
    <row r="6" spans="1:5" ht="15" x14ac:dyDescent="0.25">
      <c r="A6" s="46" t="s">
        <v>41</v>
      </c>
      <c r="B6" s="46" t="s">
        <v>43</v>
      </c>
      <c r="C6" s="46" t="s">
        <v>120</v>
      </c>
      <c r="D6" s="5" t="s">
        <v>45</v>
      </c>
      <c r="E6" s="56" t="s">
        <v>46</v>
      </c>
    </row>
    <row r="7" spans="1:5" ht="15" x14ac:dyDescent="0.25">
      <c r="A7" s="162"/>
      <c r="B7" s="50"/>
      <c r="C7" s="50"/>
      <c r="E7" s="6"/>
    </row>
    <row r="8" spans="1:5" x14ac:dyDescent="0.2">
      <c r="A8" s="6"/>
      <c r="B8" s="6"/>
      <c r="C8" s="6"/>
      <c r="E8" s="6"/>
    </row>
    <row r="9" spans="1:5" x14ac:dyDescent="0.2">
      <c r="A9" s="144" t="s">
        <v>10</v>
      </c>
      <c r="B9" s="17"/>
      <c r="C9" s="17"/>
      <c r="E9" s="6"/>
    </row>
    <row r="10" spans="1:5" x14ac:dyDescent="0.2">
      <c r="A10" s="58" t="s">
        <v>455</v>
      </c>
      <c r="B10" s="220">
        <v>2700</v>
      </c>
      <c r="C10" s="220">
        <f>2*9*150</f>
        <v>2700</v>
      </c>
      <c r="D10" s="11">
        <f>C10-B10</f>
        <v>0</v>
      </c>
      <c r="E10" s="51">
        <f>(D10/B10)</f>
        <v>0</v>
      </c>
    </row>
    <row r="11" spans="1:5" x14ac:dyDescent="0.2">
      <c r="A11" s="6"/>
      <c r="B11" s="13"/>
      <c r="C11" s="13"/>
      <c r="D11" s="222"/>
      <c r="E11" s="6"/>
    </row>
    <row r="12" spans="1:5" x14ac:dyDescent="0.2">
      <c r="A12" s="144" t="s">
        <v>11</v>
      </c>
      <c r="B12" s="13"/>
      <c r="C12" s="13"/>
      <c r="D12" s="30"/>
      <c r="E12" s="6"/>
    </row>
    <row r="13" spans="1:5" x14ac:dyDescent="0.2">
      <c r="A13" s="58" t="s">
        <v>505</v>
      </c>
      <c r="B13" s="13">
        <v>1600</v>
      </c>
      <c r="C13" s="13">
        <f>2*11*100</f>
        <v>2200</v>
      </c>
      <c r="D13" s="11">
        <f>C13-B13</f>
        <v>600</v>
      </c>
      <c r="E13" s="51">
        <f>(D13/B13)</f>
        <v>0.375</v>
      </c>
    </row>
    <row r="14" spans="1:5" x14ac:dyDescent="0.2">
      <c r="A14" s="58" t="s">
        <v>95</v>
      </c>
      <c r="B14" s="99">
        <v>270</v>
      </c>
      <c r="C14" s="99">
        <f>2*135</f>
        <v>270</v>
      </c>
      <c r="D14" s="287">
        <f>C14-B14</f>
        <v>0</v>
      </c>
      <c r="E14" s="101">
        <f>(D14/B14)</f>
        <v>0</v>
      </c>
    </row>
    <row r="15" spans="1:5" x14ac:dyDescent="0.2">
      <c r="A15" s="2"/>
      <c r="B15" s="306">
        <f>SUM(B13:B14)</f>
        <v>1870</v>
      </c>
      <c r="C15" s="306">
        <f>SUM(C13:C14)</f>
        <v>2470</v>
      </c>
      <c r="D15" s="13">
        <f>SUM(D13:D14)</f>
        <v>600</v>
      </c>
      <c r="E15" s="51">
        <f>(D15/B15)</f>
        <v>0.32085561497326204</v>
      </c>
    </row>
    <row r="16" spans="1:5" x14ac:dyDescent="0.2">
      <c r="A16" s="6"/>
      <c r="B16" s="13"/>
      <c r="C16" s="13"/>
      <c r="D16" s="30"/>
      <c r="E16" s="51"/>
    </row>
    <row r="17" spans="1:5" x14ac:dyDescent="0.2">
      <c r="A17" s="144" t="s">
        <v>13</v>
      </c>
      <c r="B17" s="13"/>
      <c r="C17" s="13"/>
      <c r="D17" s="30"/>
      <c r="E17" s="6"/>
    </row>
    <row r="18" spans="1:5" x14ac:dyDescent="0.2">
      <c r="A18" s="58" t="s">
        <v>72</v>
      </c>
      <c r="B18" s="88">
        <v>500</v>
      </c>
      <c r="C18" s="88">
        <v>500</v>
      </c>
      <c r="D18" s="11">
        <f>C18-B18</f>
        <v>0</v>
      </c>
      <c r="E18" s="51">
        <f>(D18/B18)</f>
        <v>0</v>
      </c>
    </row>
    <row r="19" spans="1:5" x14ac:dyDescent="0.2">
      <c r="A19" s="6"/>
      <c r="B19" s="13"/>
      <c r="C19" s="13"/>
      <c r="D19" s="159"/>
      <c r="E19" s="51"/>
    </row>
    <row r="20" spans="1:5" x14ac:dyDescent="0.2">
      <c r="A20" s="144" t="s">
        <v>14</v>
      </c>
      <c r="B20" s="13"/>
      <c r="C20" s="13"/>
      <c r="D20" s="13"/>
      <c r="E20" s="6"/>
    </row>
    <row r="21" spans="1:5" x14ac:dyDescent="0.2">
      <c r="A21" s="58" t="s">
        <v>72</v>
      </c>
      <c r="B21" s="33">
        <v>0</v>
      </c>
      <c r="C21" s="33">
        <v>0</v>
      </c>
      <c r="D21" s="13">
        <f>C21-B21</f>
        <v>0</v>
      </c>
      <c r="E21" s="51" t="e">
        <f>(D21/B21)</f>
        <v>#DIV/0!</v>
      </c>
    </row>
    <row r="22" spans="1:5" x14ac:dyDescent="0.2">
      <c r="A22" s="6"/>
      <c r="B22" s="13"/>
      <c r="C22" s="13"/>
      <c r="D22" s="13"/>
      <c r="E22" s="51"/>
    </row>
    <row r="23" spans="1:5" x14ac:dyDescent="0.2">
      <c r="A23" s="144" t="s">
        <v>15</v>
      </c>
      <c r="B23" s="13"/>
      <c r="C23" s="13"/>
      <c r="D23" s="13"/>
      <c r="E23" s="6"/>
    </row>
    <row r="24" spans="1:5" x14ac:dyDescent="0.2">
      <c r="A24" s="58" t="s">
        <v>72</v>
      </c>
      <c r="B24" s="33">
        <v>100</v>
      </c>
      <c r="C24" s="33">
        <v>100</v>
      </c>
      <c r="D24" s="13">
        <f>C24-B24</f>
        <v>0</v>
      </c>
      <c r="E24" s="51">
        <f>(D24/B24)</f>
        <v>0</v>
      </c>
    </row>
    <row r="25" spans="1:5" x14ac:dyDescent="0.2">
      <c r="A25" s="58"/>
      <c r="B25" s="33"/>
      <c r="C25" s="33"/>
      <c r="D25" s="13"/>
      <c r="E25" s="51"/>
    </row>
    <row r="26" spans="1:5" x14ac:dyDescent="0.2">
      <c r="A26" s="144" t="s">
        <v>375</v>
      </c>
      <c r="B26" s="33"/>
      <c r="C26" s="33"/>
      <c r="D26" s="13"/>
      <c r="E26" s="51"/>
    </row>
    <row r="27" spans="1:5" x14ac:dyDescent="0.2">
      <c r="A27" s="58" t="s">
        <v>72</v>
      </c>
      <c r="B27" s="13">
        <v>100</v>
      </c>
      <c r="C27" s="13">
        <v>100</v>
      </c>
      <c r="D27" s="13">
        <f>C27-B27</f>
        <v>0</v>
      </c>
      <c r="E27" s="51">
        <f>(D27/B27)</f>
        <v>0</v>
      </c>
    </row>
    <row r="28" spans="1:5" x14ac:dyDescent="0.2">
      <c r="A28" s="144"/>
      <c r="B28" s="13"/>
      <c r="C28" s="13"/>
      <c r="D28" s="159"/>
      <c r="E28" s="6"/>
    </row>
    <row r="29" spans="1:5" x14ac:dyDescent="0.2">
      <c r="A29" s="144"/>
      <c r="B29" s="13"/>
      <c r="C29" s="13"/>
      <c r="D29" s="159"/>
      <c r="E29" s="6"/>
    </row>
    <row r="30" spans="1:5" x14ac:dyDescent="0.2">
      <c r="A30" s="6"/>
      <c r="B30" s="13"/>
      <c r="C30" s="13"/>
      <c r="D30" s="159"/>
      <c r="E30" s="6"/>
    </row>
    <row r="31" spans="1:5" ht="15.75" thickBot="1" x14ac:dyDescent="0.3">
      <c r="A31" s="77" t="s">
        <v>22</v>
      </c>
      <c r="B31" s="156">
        <f>B10+B15+B18+B21+B24+B27</f>
        <v>5270</v>
      </c>
      <c r="C31" s="156">
        <f>C10+C15+C18+C21+C24+C27</f>
        <v>5870</v>
      </c>
      <c r="D31" s="156">
        <f>D10+D15+D18+D21+D24+D27</f>
        <v>600</v>
      </c>
      <c r="E31" s="143">
        <f>(D31/B31)</f>
        <v>0.11385199240986717</v>
      </c>
    </row>
    <row r="32" spans="1:5" ht="13.5" thickTop="1" x14ac:dyDescent="0.2">
      <c r="A32" s="146"/>
      <c r="B32" s="183"/>
      <c r="C32" s="183"/>
      <c r="D32" s="47"/>
      <c r="E32" s="149"/>
    </row>
  </sheetData>
  <pageMargins left="0.94" right="0.5" top="1" bottom="1" header="0.5" footer="0.5"/>
  <pageSetup orientation="portrait" horizontalDpi="300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3"/>
  <dimension ref="A1:G36"/>
  <sheetViews>
    <sheetView showGridLines="0" zoomScaleNormal="100" workbookViewId="0">
      <selection activeCell="B10" sqref="B10:B21"/>
    </sheetView>
  </sheetViews>
  <sheetFormatPr defaultColWidth="8.7109375" defaultRowHeight="12.75" x14ac:dyDescent="0.2"/>
  <cols>
    <col min="1" max="1" width="34.7109375" bestFit="1" customWidth="1"/>
    <col min="2" max="3" width="10.7109375" customWidth="1"/>
    <col min="4" max="5" width="9.7109375" bestFit="1" customWidth="1"/>
  </cols>
  <sheetData>
    <row r="1" spans="1:7" ht="15.75" x14ac:dyDescent="0.25">
      <c r="A1" s="3" t="str">
        <f>'Ann Sess'!A1</f>
        <v>2026 Budget</v>
      </c>
      <c r="B1" s="3" t="s">
        <v>3</v>
      </c>
    </row>
    <row r="2" spans="1:7" ht="15.75" x14ac:dyDescent="0.25">
      <c r="A2" s="359" t="str">
        <f>'Ann Sess'!A2</f>
        <v>1st Draft</v>
      </c>
      <c r="B2" s="3"/>
    </row>
    <row r="3" spans="1:7" ht="15.75" x14ac:dyDescent="0.25">
      <c r="A3" s="100"/>
      <c r="B3" s="3" t="s">
        <v>32</v>
      </c>
    </row>
    <row r="4" spans="1:7" x14ac:dyDescent="0.2">
      <c r="D4" s="7" t="s">
        <v>0</v>
      </c>
    </row>
    <row r="5" spans="1:7" s="64" customFormat="1" ht="15" x14ac:dyDescent="0.25">
      <c r="A5" s="63" t="s">
        <v>26</v>
      </c>
      <c r="B5" s="63">
        <f>'Ann Sess'!B5</f>
        <v>2025</v>
      </c>
      <c r="C5" s="63">
        <f>'Ann Sess'!C5</f>
        <v>2026</v>
      </c>
      <c r="D5" s="4" t="s">
        <v>44</v>
      </c>
      <c r="E5" s="63" t="s">
        <v>44</v>
      </c>
    </row>
    <row r="6" spans="1:7" s="64" customFormat="1" ht="15" x14ac:dyDescent="0.25">
      <c r="A6" s="46" t="s">
        <v>41</v>
      </c>
      <c r="B6" s="46" t="s">
        <v>43</v>
      </c>
      <c r="C6" s="46" t="s">
        <v>120</v>
      </c>
      <c r="D6" s="5" t="s">
        <v>45</v>
      </c>
      <c r="E6" s="46" t="s">
        <v>46</v>
      </c>
    </row>
    <row r="7" spans="1:7" ht="15" x14ac:dyDescent="0.25">
      <c r="A7" s="162"/>
      <c r="B7" s="50"/>
      <c r="C7" s="50"/>
      <c r="D7" s="2"/>
      <c r="E7" s="50"/>
    </row>
    <row r="8" spans="1:7" x14ac:dyDescent="0.2">
      <c r="A8" s="6"/>
      <c r="B8" s="17"/>
      <c r="C8" s="17"/>
      <c r="D8" s="2"/>
      <c r="E8" s="6"/>
      <c r="G8" s="79"/>
    </row>
    <row r="9" spans="1:7" x14ac:dyDescent="0.2">
      <c r="A9" s="144" t="s">
        <v>10</v>
      </c>
      <c r="B9" s="17"/>
      <c r="C9" s="17"/>
      <c r="D9" s="2"/>
      <c r="E9" s="6"/>
    </row>
    <row r="10" spans="1:7" x14ac:dyDescent="0.2">
      <c r="A10" s="58" t="s">
        <v>313</v>
      </c>
      <c r="B10" s="186">
        <v>0</v>
      </c>
      <c r="C10" s="186">
        <v>0</v>
      </c>
      <c r="D10" s="184">
        <f>C10-B10</f>
        <v>0</v>
      </c>
      <c r="E10" s="51" t="e">
        <f>(D10/B10)</f>
        <v>#DIV/0!</v>
      </c>
      <c r="F10" s="35"/>
    </row>
    <row r="11" spans="1:7" x14ac:dyDescent="0.2">
      <c r="A11" s="6"/>
      <c r="B11" s="187"/>
      <c r="C11" s="187"/>
      <c r="D11" s="184"/>
      <c r="E11" s="6"/>
    </row>
    <row r="12" spans="1:7" x14ac:dyDescent="0.2">
      <c r="A12" s="144" t="s">
        <v>11</v>
      </c>
      <c r="B12" s="187"/>
      <c r="C12" s="187"/>
      <c r="D12" s="184"/>
      <c r="E12" s="6"/>
    </row>
    <row r="13" spans="1:7" x14ac:dyDescent="0.2">
      <c r="A13" s="58" t="s">
        <v>97</v>
      </c>
      <c r="B13" s="358">
        <v>0</v>
      </c>
      <c r="C13" s="358">
        <v>0</v>
      </c>
      <c r="D13" s="184">
        <f>C13-B13</f>
        <v>0</v>
      </c>
      <c r="E13" s="51" t="e">
        <f>(D13/B13)</f>
        <v>#DIV/0!</v>
      </c>
    </row>
    <row r="14" spans="1:7" x14ac:dyDescent="0.2">
      <c r="A14" s="58" t="s">
        <v>95</v>
      </c>
      <c r="B14" s="188">
        <v>0</v>
      </c>
      <c r="C14" s="188">
        <v>0</v>
      </c>
      <c r="D14" s="185">
        <f>C14-B14</f>
        <v>0</v>
      </c>
      <c r="E14" s="139" t="e">
        <f>(D14/B14)</f>
        <v>#DIV/0!</v>
      </c>
    </row>
    <row r="15" spans="1:7" x14ac:dyDescent="0.2">
      <c r="A15" s="6"/>
      <c r="B15" s="187">
        <f>SUM(B13:B14)</f>
        <v>0</v>
      </c>
      <c r="C15" s="187">
        <f>SUM(C13:C14)</f>
        <v>0</v>
      </c>
      <c r="D15" s="187">
        <f>SUM(D13:D14)</f>
        <v>0</v>
      </c>
      <c r="E15" s="51" t="e">
        <f>(D15/B15)</f>
        <v>#DIV/0!</v>
      </c>
    </row>
    <row r="16" spans="1:7" x14ac:dyDescent="0.2">
      <c r="A16" s="144"/>
      <c r="B16" s="187"/>
      <c r="C16" s="187"/>
      <c r="D16" s="184"/>
      <c r="E16" s="6"/>
    </row>
    <row r="17" spans="1:5" x14ac:dyDescent="0.2">
      <c r="A17" s="6"/>
      <c r="B17" s="187"/>
      <c r="C17" s="187"/>
      <c r="D17" s="184"/>
      <c r="E17" s="6"/>
    </row>
    <row r="18" spans="1:5" x14ac:dyDescent="0.2">
      <c r="A18" s="6"/>
      <c r="B18" s="187"/>
      <c r="C18" s="187"/>
      <c r="D18" s="184"/>
      <c r="E18" s="6"/>
    </row>
    <row r="19" spans="1:5" x14ac:dyDescent="0.2">
      <c r="A19" s="144" t="s">
        <v>14</v>
      </c>
      <c r="B19" s="187"/>
      <c r="C19" s="187"/>
      <c r="D19" s="187"/>
      <c r="E19" s="6"/>
    </row>
    <row r="20" spans="1:5" x14ac:dyDescent="0.2">
      <c r="A20" s="58" t="s">
        <v>72</v>
      </c>
      <c r="B20" s="189">
        <v>0</v>
      </c>
      <c r="C20" s="189">
        <v>0</v>
      </c>
      <c r="D20" s="184">
        <f>C20-B20</f>
        <v>0</v>
      </c>
      <c r="E20" s="51">
        <v>0</v>
      </c>
    </row>
    <row r="21" spans="1:5" x14ac:dyDescent="0.2">
      <c r="A21" s="6"/>
      <c r="B21" s="187"/>
      <c r="C21" s="187"/>
      <c r="D21" s="184"/>
      <c r="E21" s="6"/>
    </row>
    <row r="22" spans="1:5" x14ac:dyDescent="0.2">
      <c r="A22" s="6"/>
      <c r="B22" s="25"/>
      <c r="C22" s="25"/>
      <c r="E22" s="6"/>
    </row>
    <row r="23" spans="1:5" s="37" customFormat="1" ht="15.75" thickBot="1" x14ac:dyDescent="0.3">
      <c r="A23" s="166" t="s">
        <v>22</v>
      </c>
      <c r="B23" s="156">
        <f>SUM(B20,B15,B10)</f>
        <v>0</v>
      </c>
      <c r="C23" s="156">
        <f>SUM(C20,C15,C10)</f>
        <v>0</v>
      </c>
      <c r="D23" s="156">
        <f>SUM(D20,D15,D10)</f>
        <v>0</v>
      </c>
      <c r="E23" s="143" t="e">
        <f>(D23/B23)</f>
        <v>#DIV/0!</v>
      </c>
    </row>
    <row r="24" spans="1:5" ht="13.5" thickTop="1" x14ac:dyDescent="0.2">
      <c r="A24" s="146"/>
      <c r="B24" s="183"/>
      <c r="C24" s="183"/>
      <c r="D24" s="47"/>
      <c r="E24" s="149"/>
    </row>
    <row r="25" spans="1:5" x14ac:dyDescent="0.2">
      <c r="B25" s="14"/>
      <c r="C25" s="14"/>
    </row>
    <row r="26" spans="1:5" x14ac:dyDescent="0.2">
      <c r="B26" s="14"/>
      <c r="C26" s="14"/>
    </row>
    <row r="27" spans="1:5" x14ac:dyDescent="0.2">
      <c r="B27" s="14"/>
      <c r="C27" s="14"/>
    </row>
    <row r="28" spans="1:5" x14ac:dyDescent="0.2">
      <c r="B28" s="14"/>
      <c r="C28" s="14"/>
    </row>
    <row r="29" spans="1:5" x14ac:dyDescent="0.2">
      <c r="B29" s="14"/>
      <c r="C29" s="14"/>
    </row>
    <row r="30" spans="1:5" x14ac:dyDescent="0.2">
      <c r="B30" s="14"/>
      <c r="C30" s="14"/>
    </row>
    <row r="31" spans="1:5" x14ac:dyDescent="0.2">
      <c r="B31" s="14"/>
      <c r="C31" s="14"/>
    </row>
    <row r="32" spans="1:5" x14ac:dyDescent="0.2">
      <c r="B32" s="14"/>
      <c r="C32" s="14"/>
    </row>
    <row r="33" spans="2:3" x14ac:dyDescent="0.2">
      <c r="B33" s="14"/>
      <c r="C33" s="14"/>
    </row>
    <row r="34" spans="2:3" x14ac:dyDescent="0.2">
      <c r="B34" s="14"/>
      <c r="C34" s="14"/>
    </row>
    <row r="35" spans="2:3" x14ac:dyDescent="0.2">
      <c r="B35" s="14"/>
      <c r="C35" s="14"/>
    </row>
    <row r="36" spans="2:3" x14ac:dyDescent="0.2">
      <c r="B36" s="14"/>
    </row>
  </sheetData>
  <phoneticPr fontId="0" type="noConversion"/>
  <pageMargins left="1" right="0.5" top="1" bottom="1" header="0.5" footer="0.5"/>
  <pageSetup orientation="portrait" horizontalDpi="300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5"/>
  <dimension ref="A1:E37"/>
  <sheetViews>
    <sheetView showGridLines="0" topLeftCell="A6" zoomScaleNormal="100" workbookViewId="0">
      <selection activeCell="G6" sqref="G1:G1048576"/>
    </sheetView>
  </sheetViews>
  <sheetFormatPr defaultColWidth="8.7109375" defaultRowHeight="12.75" x14ac:dyDescent="0.2"/>
  <cols>
    <col min="1" max="1" width="32.42578125" bestFit="1" customWidth="1"/>
    <col min="2" max="2" width="10.7109375" customWidth="1"/>
    <col min="3" max="3" width="10.7109375" bestFit="1" customWidth="1"/>
    <col min="4" max="4" width="9.7109375" bestFit="1" customWidth="1"/>
    <col min="5" max="5" width="9.28515625" bestFit="1" customWidth="1"/>
  </cols>
  <sheetData>
    <row r="1" spans="1:5" ht="15.75" x14ac:dyDescent="0.25">
      <c r="A1" s="3" t="str">
        <f>'Ann Sess'!A1</f>
        <v>2026 Budget</v>
      </c>
      <c r="B1" s="3" t="s">
        <v>3</v>
      </c>
    </row>
    <row r="2" spans="1:5" ht="15.75" x14ac:dyDescent="0.25">
      <c r="A2" s="359" t="str">
        <f>'Ann Sess'!A2</f>
        <v>1st Draft</v>
      </c>
      <c r="B2" s="3"/>
    </row>
    <row r="3" spans="1:5" ht="15.75" x14ac:dyDescent="0.25">
      <c r="A3" s="100"/>
      <c r="B3" s="3" t="s">
        <v>2</v>
      </c>
    </row>
    <row r="4" spans="1:5" x14ac:dyDescent="0.2">
      <c r="D4" s="7" t="s">
        <v>0</v>
      </c>
      <c r="E4" s="47"/>
    </row>
    <row r="5" spans="1:5" ht="15" x14ac:dyDescent="0.25">
      <c r="A5" s="63" t="s">
        <v>26</v>
      </c>
      <c r="B5" s="63">
        <f>'Ann Sess'!B5</f>
        <v>2025</v>
      </c>
      <c r="C5" s="63">
        <f>'Ann Sess'!C5</f>
        <v>2026</v>
      </c>
      <c r="D5" s="4" t="s">
        <v>44</v>
      </c>
      <c r="E5" s="55" t="s">
        <v>44</v>
      </c>
    </row>
    <row r="6" spans="1:5" ht="15" x14ac:dyDescent="0.25">
      <c r="A6" s="46" t="s">
        <v>41</v>
      </c>
      <c r="B6" s="46" t="s">
        <v>43</v>
      </c>
      <c r="C6" s="46" t="s">
        <v>120</v>
      </c>
      <c r="D6" s="5" t="s">
        <v>45</v>
      </c>
      <c r="E6" s="56" t="s">
        <v>46</v>
      </c>
    </row>
    <row r="7" spans="1:5" ht="15" x14ac:dyDescent="0.25">
      <c r="A7" s="162"/>
      <c r="B7" s="50"/>
      <c r="C7" s="50"/>
      <c r="E7" s="6"/>
    </row>
    <row r="8" spans="1:5" x14ac:dyDescent="0.2">
      <c r="A8" s="6"/>
      <c r="B8" s="6"/>
      <c r="C8" s="6"/>
      <c r="E8" s="6"/>
    </row>
    <row r="9" spans="1:5" x14ac:dyDescent="0.2">
      <c r="A9" s="144" t="s">
        <v>10</v>
      </c>
      <c r="B9" s="17"/>
      <c r="C9" s="17"/>
      <c r="E9" s="6"/>
    </row>
    <row r="10" spans="1:5" x14ac:dyDescent="0.2">
      <c r="A10" s="58" t="s">
        <v>383</v>
      </c>
      <c r="B10" s="220">
        <f>2*10*140</f>
        <v>2800</v>
      </c>
      <c r="C10" s="220">
        <f>2*10*140</f>
        <v>2800</v>
      </c>
      <c r="D10" s="11">
        <f>C10-B10</f>
        <v>0</v>
      </c>
      <c r="E10" s="51">
        <f>(D10/B10)</f>
        <v>0</v>
      </c>
    </row>
    <row r="11" spans="1:5" x14ac:dyDescent="0.2">
      <c r="A11" s="6" t="s">
        <v>182</v>
      </c>
      <c r="B11" s="327">
        <v>0</v>
      </c>
      <c r="C11" s="327">
        <v>0</v>
      </c>
      <c r="D11" s="287">
        <f>C11-B11</f>
        <v>0</v>
      </c>
      <c r="E11" s="101" t="e">
        <f>(D11/B11)</f>
        <v>#DIV/0!</v>
      </c>
    </row>
    <row r="12" spans="1:5" x14ac:dyDescent="0.2">
      <c r="A12" s="58"/>
      <c r="B12" s="221">
        <f>SUM(B10:B11)</f>
        <v>2800</v>
      </c>
      <c r="C12" s="221">
        <f>SUM(C10:C11)</f>
        <v>2800</v>
      </c>
      <c r="D12" s="221">
        <f>SUM(D10:D11)</f>
        <v>0</v>
      </c>
      <c r="E12" s="51">
        <f>(D12/B12)</f>
        <v>0</v>
      </c>
    </row>
    <row r="13" spans="1:5" x14ac:dyDescent="0.2">
      <c r="A13" s="6"/>
      <c r="B13" s="13"/>
      <c r="C13" s="13"/>
      <c r="D13" s="222"/>
      <c r="E13" s="6"/>
    </row>
    <row r="14" spans="1:5" x14ac:dyDescent="0.2">
      <c r="A14" s="144" t="s">
        <v>11</v>
      </c>
      <c r="B14" s="13"/>
      <c r="C14" s="13"/>
      <c r="D14" s="30"/>
      <c r="E14" s="6"/>
    </row>
    <row r="15" spans="1:5" x14ac:dyDescent="0.2">
      <c r="A15" s="58" t="s">
        <v>374</v>
      </c>
      <c r="B15" s="13">
        <f>2*9*100</f>
        <v>1800</v>
      </c>
      <c r="C15" s="13">
        <f>2*9*100</f>
        <v>1800</v>
      </c>
      <c r="D15" s="11">
        <f>C15-B15</f>
        <v>0</v>
      </c>
      <c r="E15" s="51">
        <f>(D15/B15)</f>
        <v>0</v>
      </c>
    </row>
    <row r="16" spans="1:5" x14ac:dyDescent="0.2">
      <c r="A16" s="58" t="s">
        <v>95</v>
      </c>
      <c r="B16" s="99">
        <f>2*135</f>
        <v>270</v>
      </c>
      <c r="C16" s="99">
        <f>2*135</f>
        <v>270</v>
      </c>
      <c r="D16" s="287">
        <f>C16-B16</f>
        <v>0</v>
      </c>
      <c r="E16" s="101">
        <f>(D16/B16)</f>
        <v>0</v>
      </c>
    </row>
    <row r="17" spans="1:5" x14ac:dyDescent="0.2">
      <c r="A17" s="2"/>
      <c r="B17" s="306">
        <f>SUM(B15:B16)</f>
        <v>2070</v>
      </c>
      <c r="C17" s="306">
        <f>SUM(C15:C16)</f>
        <v>2070</v>
      </c>
      <c r="D17" s="13">
        <f>SUM(D15:D16)</f>
        <v>0</v>
      </c>
      <c r="E17" s="51">
        <f>(D17/B17)</f>
        <v>0</v>
      </c>
    </row>
    <row r="18" spans="1:5" x14ac:dyDescent="0.2">
      <c r="A18" s="6"/>
      <c r="B18" s="13"/>
      <c r="C18" s="13"/>
      <c r="D18" s="30"/>
      <c r="E18" s="51"/>
    </row>
    <row r="19" spans="1:5" x14ac:dyDescent="0.2">
      <c r="A19" s="144" t="s">
        <v>12</v>
      </c>
      <c r="B19" s="13"/>
      <c r="C19" s="13"/>
      <c r="D19" s="13"/>
      <c r="E19" s="6"/>
    </row>
    <row r="20" spans="1:5" x14ac:dyDescent="0.2">
      <c r="A20" s="58" t="s">
        <v>72</v>
      </c>
      <c r="B20" s="33">
        <v>0</v>
      </c>
      <c r="C20" s="33">
        <v>0</v>
      </c>
      <c r="D20" s="11">
        <f>C20-B20</f>
        <v>0</v>
      </c>
      <c r="E20" s="51" t="e">
        <f>(D20/B20)</f>
        <v>#DIV/0!</v>
      </c>
    </row>
    <row r="21" spans="1:5" x14ac:dyDescent="0.2">
      <c r="A21" s="6"/>
      <c r="B21" s="13"/>
      <c r="C21" s="13"/>
      <c r="D21" s="30"/>
      <c r="E21" s="6"/>
    </row>
    <row r="22" spans="1:5" x14ac:dyDescent="0.2">
      <c r="A22" s="144" t="s">
        <v>13</v>
      </c>
      <c r="B22" s="13"/>
      <c r="C22" s="13"/>
      <c r="D22" s="30"/>
      <c r="E22" s="6"/>
    </row>
    <row r="23" spans="1:5" x14ac:dyDescent="0.2">
      <c r="A23" s="291" t="s">
        <v>98</v>
      </c>
      <c r="B23" s="88">
        <v>0</v>
      </c>
      <c r="C23" s="88">
        <v>0</v>
      </c>
      <c r="D23" s="11">
        <f>C23-B23</f>
        <v>0</v>
      </c>
      <c r="E23" s="51" t="e">
        <f>(D23/B23)</f>
        <v>#DIV/0!</v>
      </c>
    </row>
    <row r="24" spans="1:5" x14ac:dyDescent="0.2">
      <c r="A24" s="6"/>
      <c r="B24" s="13"/>
      <c r="C24" s="13"/>
      <c r="D24" s="159"/>
      <c r="E24" s="51"/>
    </row>
    <row r="25" spans="1:5" x14ac:dyDescent="0.2">
      <c r="A25" s="144" t="s">
        <v>14</v>
      </c>
      <c r="B25" s="13"/>
      <c r="C25" s="13"/>
      <c r="D25" s="13"/>
      <c r="E25" s="6"/>
    </row>
    <row r="26" spans="1:5" x14ac:dyDescent="0.2">
      <c r="A26" s="58" t="s">
        <v>72</v>
      </c>
      <c r="B26" s="33">
        <v>0</v>
      </c>
      <c r="C26" s="33">
        <v>0</v>
      </c>
      <c r="D26" s="13">
        <f>C26-B26</f>
        <v>0</v>
      </c>
      <c r="E26" s="51" t="e">
        <f>(D26/B26)</f>
        <v>#DIV/0!</v>
      </c>
    </row>
    <row r="27" spans="1:5" x14ac:dyDescent="0.2">
      <c r="A27" s="6"/>
      <c r="B27" s="13"/>
      <c r="C27" s="13"/>
      <c r="D27" s="13"/>
      <c r="E27" s="51"/>
    </row>
    <row r="28" spans="1:5" x14ac:dyDescent="0.2">
      <c r="A28" s="144" t="s">
        <v>15</v>
      </c>
      <c r="B28" s="13"/>
      <c r="C28" s="13"/>
      <c r="D28" s="13"/>
      <c r="E28" s="6"/>
    </row>
    <row r="29" spans="1:5" x14ac:dyDescent="0.2">
      <c r="A29" s="58" t="s">
        <v>72</v>
      </c>
      <c r="B29" s="33">
        <v>0</v>
      </c>
      <c r="C29" s="33">
        <v>0</v>
      </c>
      <c r="D29" s="13">
        <f>C29-B29</f>
        <v>0</v>
      </c>
      <c r="E29" s="51" t="e">
        <f>(D29/B29)</f>
        <v>#DIV/0!</v>
      </c>
    </row>
    <row r="30" spans="1:5" x14ac:dyDescent="0.2">
      <c r="A30" s="58"/>
      <c r="B30" s="33"/>
      <c r="C30" s="33"/>
      <c r="D30" s="13"/>
      <c r="E30" s="51"/>
    </row>
    <row r="31" spans="1:5" x14ac:dyDescent="0.2">
      <c r="A31" s="144" t="s">
        <v>375</v>
      </c>
      <c r="B31" s="33"/>
      <c r="C31" s="33"/>
      <c r="D31" s="13"/>
      <c r="E31" s="51"/>
    </row>
    <row r="32" spans="1:5" x14ac:dyDescent="0.2">
      <c r="A32" s="58" t="s">
        <v>72</v>
      </c>
      <c r="B32" s="13">
        <v>0</v>
      </c>
      <c r="C32" s="13">
        <v>0</v>
      </c>
      <c r="D32" s="13">
        <f>C32-B32</f>
        <v>0</v>
      </c>
      <c r="E32" s="51" t="e">
        <f>(D32/B32)</f>
        <v>#DIV/0!</v>
      </c>
    </row>
    <row r="33" spans="1:5" x14ac:dyDescent="0.2">
      <c r="A33" s="144"/>
      <c r="B33" s="13"/>
      <c r="C33" s="13"/>
      <c r="D33" s="159"/>
      <c r="E33" s="6"/>
    </row>
    <row r="34" spans="1:5" x14ac:dyDescent="0.2">
      <c r="A34" s="144"/>
      <c r="B34" s="13"/>
      <c r="C34" s="13"/>
      <c r="D34" s="159"/>
      <c r="E34" s="6"/>
    </row>
    <row r="35" spans="1:5" x14ac:dyDescent="0.2">
      <c r="A35" s="6"/>
      <c r="B35" s="13"/>
      <c r="C35" s="13"/>
      <c r="D35" s="159"/>
      <c r="E35" s="6"/>
    </row>
    <row r="36" spans="1:5" ht="15.75" thickBot="1" x14ac:dyDescent="0.3">
      <c r="A36" s="77" t="s">
        <v>22</v>
      </c>
      <c r="B36" s="156">
        <f>B12+B17+B20+B23+B26+B29+B32</f>
        <v>4870</v>
      </c>
      <c r="C36" s="156">
        <f>C12+C17+C20+C23+C26+C29+C32</f>
        <v>4870</v>
      </c>
      <c r="D36" s="223">
        <f>D12+D17+D20+D23+D26+D29+D32</f>
        <v>0</v>
      </c>
      <c r="E36" s="143">
        <f>(D36/B36)</f>
        <v>0</v>
      </c>
    </row>
    <row r="37" spans="1:5" ht="13.5" thickTop="1" x14ac:dyDescent="0.2">
      <c r="A37" s="146"/>
      <c r="B37" s="183"/>
      <c r="C37" s="183"/>
      <c r="D37" s="47"/>
      <c r="E37" s="149"/>
    </row>
  </sheetData>
  <phoneticPr fontId="0" type="noConversion"/>
  <pageMargins left="0.94" right="0.5" top="1" bottom="1" header="0.5" footer="0.5"/>
  <pageSetup orientation="portrait" horizontalDpi="300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6"/>
  <dimension ref="A1:F45"/>
  <sheetViews>
    <sheetView showGridLines="0" zoomScaleNormal="100" workbookViewId="0">
      <selection activeCell="B10" sqref="B10:B29"/>
    </sheetView>
  </sheetViews>
  <sheetFormatPr defaultColWidth="8.7109375" defaultRowHeight="12.75" x14ac:dyDescent="0.2"/>
  <cols>
    <col min="1" max="1" width="31.7109375" bestFit="1" customWidth="1"/>
    <col min="2" max="2" width="10.7109375" customWidth="1"/>
    <col min="3" max="3" width="10.7109375" bestFit="1" customWidth="1"/>
    <col min="4" max="4" width="9.7109375" bestFit="1" customWidth="1"/>
    <col min="5" max="5" width="10.28515625" customWidth="1"/>
  </cols>
  <sheetData>
    <row r="1" spans="1:5" ht="15.75" x14ac:dyDescent="0.25">
      <c r="A1" s="3" t="str">
        <f>'Ann Sess'!A1</f>
        <v>2026 Budget</v>
      </c>
      <c r="B1" s="3" t="s">
        <v>204</v>
      </c>
    </row>
    <row r="2" spans="1:5" ht="15.75" x14ac:dyDescent="0.25">
      <c r="A2" s="359" t="str">
        <f>'Ann Sess'!A2</f>
        <v>1st Draft</v>
      </c>
      <c r="B2" s="3"/>
    </row>
    <row r="3" spans="1:5" ht="15.75" x14ac:dyDescent="0.25">
      <c r="A3" s="100"/>
      <c r="B3" s="3" t="s">
        <v>4</v>
      </c>
    </row>
    <row r="4" spans="1:5" x14ac:dyDescent="0.2">
      <c r="D4" s="7" t="s">
        <v>0</v>
      </c>
    </row>
    <row r="5" spans="1:5" ht="15" x14ac:dyDescent="0.25">
      <c r="A5" s="63" t="s">
        <v>26</v>
      </c>
      <c r="B5" s="63">
        <f>'Ann Sess'!B5</f>
        <v>2025</v>
      </c>
      <c r="C5" s="63">
        <f>'Ann Sess'!C5</f>
        <v>2026</v>
      </c>
      <c r="D5" s="4" t="s">
        <v>44</v>
      </c>
      <c r="E5" s="55" t="s">
        <v>44</v>
      </c>
    </row>
    <row r="6" spans="1:5" ht="15" x14ac:dyDescent="0.25">
      <c r="A6" s="46" t="s">
        <v>41</v>
      </c>
      <c r="B6" s="46" t="s">
        <v>43</v>
      </c>
      <c r="C6" s="46" t="s">
        <v>120</v>
      </c>
      <c r="D6" s="5" t="s">
        <v>45</v>
      </c>
      <c r="E6" s="56" t="s">
        <v>46</v>
      </c>
    </row>
    <row r="7" spans="1:5" ht="15" x14ac:dyDescent="0.25">
      <c r="A7" s="162"/>
      <c r="B7" s="50"/>
      <c r="C7" s="50"/>
      <c r="D7" s="2"/>
      <c r="E7" s="50"/>
    </row>
    <row r="8" spans="1:5" x14ac:dyDescent="0.2">
      <c r="A8" s="167"/>
      <c r="B8" s="17"/>
      <c r="C8" s="17"/>
      <c r="D8" s="2"/>
      <c r="E8" s="6"/>
    </row>
    <row r="9" spans="1:5" x14ac:dyDescent="0.2">
      <c r="A9" s="144" t="s">
        <v>10</v>
      </c>
      <c r="B9" s="17"/>
      <c r="C9" s="17"/>
      <c r="D9" s="2"/>
      <c r="E9" s="6"/>
    </row>
    <row r="10" spans="1:5" x14ac:dyDescent="0.2">
      <c r="A10" s="58" t="s">
        <v>353</v>
      </c>
      <c r="B10" s="33">
        <v>0</v>
      </c>
      <c r="C10" s="33">
        <v>0</v>
      </c>
      <c r="D10" s="11">
        <f>C10-B10</f>
        <v>0</v>
      </c>
      <c r="E10" s="51" t="e">
        <f>(D10/B10)</f>
        <v>#DIV/0!</v>
      </c>
    </row>
    <row r="11" spans="1:5" x14ac:dyDescent="0.2">
      <c r="A11" s="167"/>
      <c r="B11" s="13"/>
      <c r="C11" s="13"/>
      <c r="D11" s="11"/>
      <c r="E11" s="6"/>
    </row>
    <row r="12" spans="1:5" x14ac:dyDescent="0.2">
      <c r="A12" s="167"/>
      <c r="B12" s="13"/>
      <c r="C12" s="13"/>
      <c r="D12" s="11"/>
      <c r="E12" s="6"/>
    </row>
    <row r="13" spans="1:5" x14ac:dyDescent="0.2">
      <c r="A13" s="144" t="s">
        <v>11</v>
      </c>
      <c r="B13" s="13"/>
      <c r="C13" s="13"/>
      <c r="D13" s="11"/>
      <c r="E13" s="6"/>
    </row>
    <row r="14" spans="1:5" x14ac:dyDescent="0.2">
      <c r="A14" s="58" t="s">
        <v>354</v>
      </c>
      <c r="B14" s="13">
        <v>0</v>
      </c>
      <c r="C14" s="13">
        <v>0</v>
      </c>
      <c r="D14" s="11">
        <v>0</v>
      </c>
      <c r="E14" s="51" t="e">
        <f>(D14/B14)</f>
        <v>#DIV/0!</v>
      </c>
    </row>
    <row r="15" spans="1:5" x14ac:dyDescent="0.2">
      <c r="A15" s="167" t="s">
        <v>99</v>
      </c>
      <c r="B15" s="124">
        <v>0</v>
      </c>
      <c r="C15" s="124">
        <v>0</v>
      </c>
      <c r="D15" s="155">
        <f>C15-B15</f>
        <v>0</v>
      </c>
      <c r="E15" s="139" t="e">
        <f>(D15/B15)</f>
        <v>#DIV/0!</v>
      </c>
    </row>
    <row r="16" spans="1:5" x14ac:dyDescent="0.2">
      <c r="A16" s="167"/>
      <c r="B16" s="84">
        <f>SUM(B14:B15)</f>
        <v>0</v>
      </c>
      <c r="C16" s="84">
        <f>SUM(C14:C15)</f>
        <v>0</v>
      </c>
      <c r="D16" s="84">
        <f>SUM(D14:D15)</f>
        <v>0</v>
      </c>
      <c r="E16" s="51" t="e">
        <f>+(E15/C15)</f>
        <v>#DIV/0!</v>
      </c>
    </row>
    <row r="17" spans="1:6" x14ac:dyDescent="0.2">
      <c r="A17" s="144" t="s">
        <v>13</v>
      </c>
      <c r="B17" s="13"/>
      <c r="C17" s="13"/>
      <c r="D17" s="11"/>
      <c r="E17" s="51"/>
    </row>
    <row r="18" spans="1:6" x14ac:dyDescent="0.2">
      <c r="A18" s="6" t="s">
        <v>303</v>
      </c>
      <c r="B18" s="108">
        <v>0</v>
      </c>
      <c r="C18" s="108">
        <v>0</v>
      </c>
      <c r="D18" s="11">
        <f>C18-B18</f>
        <v>0</v>
      </c>
      <c r="E18" s="51">
        <v>1</v>
      </c>
      <c r="F18" s="294"/>
    </row>
    <row r="19" spans="1:6" x14ac:dyDescent="0.2">
      <c r="A19" s="167"/>
      <c r="B19" s="13"/>
      <c r="C19" s="13"/>
      <c r="D19" s="13"/>
      <c r="E19" s="6"/>
    </row>
    <row r="20" spans="1:6" x14ac:dyDescent="0.2">
      <c r="A20" s="144" t="s">
        <v>12</v>
      </c>
      <c r="B20" s="33">
        <v>0</v>
      </c>
      <c r="C20" s="33">
        <v>0</v>
      </c>
      <c r="D20" s="13">
        <f>C20-B20</f>
        <v>0</v>
      </c>
      <c r="E20" s="51" t="e">
        <f>(D20/B20)</f>
        <v>#DIV/0!</v>
      </c>
    </row>
    <row r="21" spans="1:6" x14ac:dyDescent="0.2">
      <c r="A21" s="167" t="s">
        <v>72</v>
      </c>
      <c r="B21" s="13"/>
      <c r="C21" s="13"/>
      <c r="D21" s="13"/>
      <c r="E21" s="6"/>
    </row>
    <row r="22" spans="1:6" x14ac:dyDescent="0.2">
      <c r="A22" s="167"/>
      <c r="B22" s="13"/>
      <c r="C22" s="13"/>
      <c r="D22" s="13"/>
      <c r="E22" s="6"/>
    </row>
    <row r="23" spans="1:6" x14ac:dyDescent="0.2">
      <c r="A23" s="144" t="s">
        <v>14</v>
      </c>
      <c r="B23" s="33">
        <v>0</v>
      </c>
      <c r="C23" s="33">
        <v>0</v>
      </c>
      <c r="D23" s="13">
        <f>C23-B23</f>
        <v>0</v>
      </c>
      <c r="E23" s="51" t="e">
        <f>(D23/B23)</f>
        <v>#DIV/0!</v>
      </c>
    </row>
    <row r="24" spans="1:6" x14ac:dyDescent="0.2">
      <c r="A24" s="167" t="s">
        <v>72</v>
      </c>
      <c r="B24" s="13"/>
      <c r="C24" s="13"/>
      <c r="D24" s="13"/>
      <c r="E24" s="6"/>
    </row>
    <row r="25" spans="1:6" x14ac:dyDescent="0.2">
      <c r="A25" s="167"/>
      <c r="B25" s="13"/>
      <c r="C25" s="13"/>
      <c r="D25" s="13"/>
      <c r="E25" s="6"/>
    </row>
    <row r="26" spans="1:6" x14ac:dyDescent="0.2">
      <c r="A26" s="144" t="s">
        <v>16</v>
      </c>
      <c r="B26" s="13">
        <v>0</v>
      </c>
      <c r="C26" s="13">
        <v>0</v>
      </c>
      <c r="D26" s="13">
        <f>C26-B26</f>
        <v>0</v>
      </c>
      <c r="E26" s="51" t="e">
        <f>(D26/B26)</f>
        <v>#DIV/0!</v>
      </c>
    </row>
    <row r="27" spans="1:6" x14ac:dyDescent="0.2">
      <c r="A27" s="6" t="s">
        <v>72</v>
      </c>
      <c r="B27" s="13"/>
      <c r="C27" s="13"/>
      <c r="D27" s="13"/>
      <c r="E27" s="6"/>
    </row>
    <row r="28" spans="1:6" x14ac:dyDescent="0.2">
      <c r="A28" s="167"/>
      <c r="B28" s="13"/>
      <c r="C28" s="13"/>
      <c r="D28" s="13"/>
      <c r="E28" s="6"/>
    </row>
    <row r="29" spans="1:6" x14ac:dyDescent="0.2">
      <c r="A29" s="144" t="s">
        <v>15</v>
      </c>
      <c r="B29" s="33">
        <v>0</v>
      </c>
      <c r="C29" s="33">
        <v>0</v>
      </c>
      <c r="D29" s="11">
        <f>C29-B29</f>
        <v>0</v>
      </c>
      <c r="E29" s="51" t="e">
        <f>(D29/B29)</f>
        <v>#DIV/0!</v>
      </c>
    </row>
    <row r="30" spans="1:6" x14ac:dyDescent="0.2">
      <c r="A30" s="167" t="s">
        <v>72</v>
      </c>
      <c r="B30" s="13"/>
      <c r="C30" s="13"/>
      <c r="D30" s="30"/>
      <c r="E30" s="6"/>
    </row>
    <row r="31" spans="1:6" x14ac:dyDescent="0.2">
      <c r="A31" s="167"/>
      <c r="B31" s="13"/>
      <c r="C31" s="13"/>
      <c r="D31" s="159"/>
      <c r="E31" s="6"/>
    </row>
    <row r="32" spans="1:6" x14ac:dyDescent="0.2">
      <c r="A32" s="6"/>
      <c r="B32" s="13"/>
      <c r="C32" s="13"/>
      <c r="D32" s="159"/>
      <c r="E32" s="6"/>
    </row>
    <row r="33" spans="1:5" ht="13.5" thickBot="1" x14ac:dyDescent="0.25">
      <c r="A33" s="6"/>
      <c r="B33" s="156">
        <f>+B29+B26+B23+B20+B16+B10+B18</f>
        <v>0</v>
      </c>
      <c r="C33" s="156">
        <f>+C29+C26+C23+C20+C16+C10+C18</f>
        <v>0</v>
      </c>
      <c r="D33" s="156">
        <f>+D29+D26+D23+D20+D16+D10</f>
        <v>0</v>
      </c>
      <c r="E33" s="143" t="e">
        <f>(D33/B33)</f>
        <v>#DIV/0!</v>
      </c>
    </row>
    <row r="34" spans="1:5" ht="15.75" thickTop="1" x14ac:dyDescent="0.25">
      <c r="A34" s="5" t="s">
        <v>22</v>
      </c>
      <c r="B34" s="183"/>
      <c r="C34" s="183"/>
      <c r="D34" s="47"/>
      <c r="E34" s="149"/>
    </row>
    <row r="35" spans="1:5" x14ac:dyDescent="0.2">
      <c r="B35" s="14"/>
      <c r="C35" s="14"/>
    </row>
    <row r="36" spans="1:5" x14ac:dyDescent="0.2">
      <c r="B36" s="14"/>
      <c r="C36" s="14"/>
    </row>
    <row r="37" spans="1:5" x14ac:dyDescent="0.2">
      <c r="B37" s="14"/>
      <c r="C37" s="14"/>
    </row>
    <row r="38" spans="1:5" x14ac:dyDescent="0.2">
      <c r="B38" s="14"/>
      <c r="C38" s="14"/>
    </row>
    <row r="39" spans="1:5" x14ac:dyDescent="0.2">
      <c r="B39" s="14"/>
      <c r="C39" s="14"/>
    </row>
    <row r="40" spans="1:5" x14ac:dyDescent="0.2">
      <c r="B40" s="14"/>
      <c r="C40" s="14"/>
    </row>
    <row r="41" spans="1:5" x14ac:dyDescent="0.2">
      <c r="B41" s="14"/>
      <c r="C41" s="14"/>
    </row>
    <row r="42" spans="1:5" x14ac:dyDescent="0.2">
      <c r="B42" s="14"/>
      <c r="C42" s="14"/>
    </row>
    <row r="43" spans="1:5" x14ac:dyDescent="0.2">
      <c r="B43" s="14"/>
      <c r="C43" s="14"/>
    </row>
    <row r="44" spans="1:5" x14ac:dyDescent="0.2">
      <c r="B44" s="14"/>
      <c r="C44" s="14"/>
    </row>
    <row r="45" spans="1:5" x14ac:dyDescent="0.2">
      <c r="B45" s="14"/>
      <c r="C45" s="36" t="s">
        <v>0</v>
      </c>
    </row>
  </sheetData>
  <phoneticPr fontId="0" type="noConversion"/>
  <pageMargins left="1" right="0.5" top="1" bottom="1" header="0.5" footer="0.5"/>
  <pageSetup orientation="portrait" horizontalDpi="300" verticalDpi="300" r:id="rId1"/>
  <headerFooter alignWithMargins="0"/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9"/>
  <dimension ref="A1:F50"/>
  <sheetViews>
    <sheetView showGridLines="0" topLeftCell="A17" zoomScaleNormal="100" workbookViewId="0">
      <selection activeCell="Q43" sqref="Q43"/>
    </sheetView>
  </sheetViews>
  <sheetFormatPr defaultColWidth="8.7109375" defaultRowHeight="12.75" x14ac:dyDescent="0.2"/>
  <cols>
    <col min="1" max="1" width="38.42578125" bestFit="1" customWidth="1"/>
    <col min="2" max="2" width="10.7109375" customWidth="1"/>
    <col min="3" max="3" width="11.7109375" bestFit="1" customWidth="1"/>
    <col min="4" max="4" width="10.42578125" bestFit="1" customWidth="1"/>
    <col min="5" max="5" width="9.42578125" bestFit="1" customWidth="1"/>
  </cols>
  <sheetData>
    <row r="1" spans="1:5" ht="15.75" x14ac:dyDescent="0.25">
      <c r="A1" s="3" t="str">
        <f>'Ann Sess'!A1</f>
        <v>2026 Budget</v>
      </c>
      <c r="B1" s="3" t="s">
        <v>211</v>
      </c>
      <c r="C1" s="3"/>
    </row>
    <row r="2" spans="1:5" ht="15.75" x14ac:dyDescent="0.25">
      <c r="A2" s="359" t="str">
        <f>'Ann Sess'!A2</f>
        <v>1st Draft</v>
      </c>
      <c r="B2" s="3"/>
      <c r="C2" s="3"/>
    </row>
    <row r="3" spans="1:5" ht="15.75" x14ac:dyDescent="0.25">
      <c r="A3" s="37"/>
      <c r="B3" s="3" t="s">
        <v>39</v>
      </c>
      <c r="C3" s="3"/>
    </row>
    <row r="4" spans="1:5" x14ac:dyDescent="0.2">
      <c r="E4" s="7" t="s">
        <v>0</v>
      </c>
    </row>
    <row r="5" spans="1:5" ht="15" x14ac:dyDescent="0.25">
      <c r="A5" s="63" t="s">
        <v>26</v>
      </c>
      <c r="B5" s="63">
        <f>'Ann Sess'!B5</f>
        <v>2025</v>
      </c>
      <c r="C5" s="63">
        <f>'Ann Sess'!C5</f>
        <v>2026</v>
      </c>
      <c r="D5" s="4" t="s">
        <v>44</v>
      </c>
      <c r="E5" s="55" t="s">
        <v>44</v>
      </c>
    </row>
    <row r="6" spans="1:5" ht="15" x14ac:dyDescent="0.25">
      <c r="A6" s="46" t="s">
        <v>41</v>
      </c>
      <c r="B6" s="46" t="s">
        <v>43</v>
      </c>
      <c r="C6" s="46" t="s">
        <v>120</v>
      </c>
      <c r="D6" s="5" t="s">
        <v>45</v>
      </c>
      <c r="E6" s="56" t="s">
        <v>46</v>
      </c>
    </row>
    <row r="7" spans="1:5" ht="15" x14ac:dyDescent="0.25">
      <c r="A7" s="162"/>
      <c r="B7" s="50"/>
      <c r="C7" s="109"/>
      <c r="D7" s="2"/>
      <c r="E7" s="50"/>
    </row>
    <row r="8" spans="1:5" x14ac:dyDescent="0.2">
      <c r="A8" s="150" t="s">
        <v>10</v>
      </c>
      <c r="B8" s="17"/>
      <c r="C8" s="17"/>
      <c r="D8" s="14"/>
      <c r="E8" s="6"/>
    </row>
    <row r="9" spans="1:5" x14ac:dyDescent="0.2">
      <c r="A9" s="151" t="s">
        <v>351</v>
      </c>
      <c r="B9" s="108">
        <v>3000</v>
      </c>
      <c r="C9" s="108">
        <v>0</v>
      </c>
      <c r="D9" s="30">
        <f>C9-B9</f>
        <v>-3000</v>
      </c>
      <c r="E9" s="51">
        <f>D9/B9</f>
        <v>-1</v>
      </c>
    </row>
    <row r="10" spans="1:5" x14ac:dyDescent="0.2">
      <c r="A10" s="2"/>
      <c r="B10" s="13"/>
      <c r="C10" s="13"/>
      <c r="D10" s="30"/>
      <c r="E10" s="51"/>
    </row>
    <row r="11" spans="1:5" x14ac:dyDescent="0.2">
      <c r="A11" s="150" t="s">
        <v>11</v>
      </c>
      <c r="B11" s="13"/>
      <c r="C11" s="13"/>
      <c r="D11" s="45" t="s">
        <v>0</v>
      </c>
      <c r="E11" s="51"/>
    </row>
    <row r="12" spans="1:5" x14ac:dyDescent="0.2">
      <c r="A12" s="151" t="s">
        <v>163</v>
      </c>
      <c r="B12" s="108">
        <v>1800</v>
      </c>
      <c r="C12" s="108">
        <v>1800</v>
      </c>
      <c r="D12" s="30">
        <f>C12-B12</f>
        <v>0</v>
      </c>
      <c r="E12" s="51">
        <f>D12/B12</f>
        <v>0</v>
      </c>
    </row>
    <row r="13" spans="1:5" ht="13.5" customHeight="1" x14ac:dyDescent="0.2">
      <c r="A13" s="151" t="s">
        <v>162</v>
      </c>
      <c r="B13" s="87">
        <v>270</v>
      </c>
      <c r="C13" s="87">
        <v>270</v>
      </c>
      <c r="D13" s="180">
        <f>C13-B13</f>
        <v>0</v>
      </c>
      <c r="E13" s="139">
        <f>D13/B13</f>
        <v>0</v>
      </c>
    </row>
    <row r="14" spans="1:5" x14ac:dyDescent="0.2">
      <c r="A14" s="2"/>
      <c r="B14" s="108">
        <f>SUM(B12:B13)</f>
        <v>2070</v>
      </c>
      <c r="C14" s="108">
        <f>SUM(C12:C13)</f>
        <v>2070</v>
      </c>
      <c r="D14" s="33">
        <f>SUM(D12:D13)</f>
        <v>0</v>
      </c>
      <c r="E14" s="51">
        <f>D14/B14</f>
        <v>0</v>
      </c>
    </row>
    <row r="15" spans="1:5" x14ac:dyDescent="0.2">
      <c r="A15" s="6"/>
      <c r="B15" s="16"/>
      <c r="C15" s="16"/>
      <c r="D15" s="15"/>
      <c r="E15" s="51"/>
    </row>
    <row r="16" spans="1:5" x14ac:dyDescent="0.2">
      <c r="A16" s="144" t="s">
        <v>24</v>
      </c>
      <c r="B16" s="16"/>
      <c r="C16" s="16"/>
      <c r="D16" s="15"/>
      <c r="E16" s="51"/>
    </row>
    <row r="17" spans="1:6" x14ac:dyDescent="0.2">
      <c r="A17" s="151" t="s">
        <v>155</v>
      </c>
      <c r="B17" s="360">
        <v>7500</v>
      </c>
      <c r="C17" s="360">
        <v>5000</v>
      </c>
      <c r="D17" s="308">
        <f>C17-B17</f>
        <v>-2500</v>
      </c>
      <c r="E17" s="309">
        <f>D17/B17</f>
        <v>-0.33333333333333331</v>
      </c>
      <c r="F17" s="60"/>
    </row>
    <row r="18" spans="1:6" x14ac:dyDescent="0.2">
      <c r="A18" s="58" t="s">
        <v>320</v>
      </c>
      <c r="B18" s="361">
        <v>57000</v>
      </c>
      <c r="C18" s="361">
        <v>60000</v>
      </c>
      <c r="D18" s="310">
        <f>C18-B18</f>
        <v>3000</v>
      </c>
      <c r="E18" s="139">
        <f>D18/B18</f>
        <v>5.2631578947368418E-2</v>
      </c>
      <c r="F18" s="60"/>
    </row>
    <row r="19" spans="1:6" x14ac:dyDescent="0.2">
      <c r="A19" s="6" t="s">
        <v>0</v>
      </c>
      <c r="B19" s="306">
        <f>B17+B18</f>
        <v>64500</v>
      </c>
      <c r="C19" s="306">
        <f>C17+C18</f>
        <v>65000</v>
      </c>
      <c r="D19" s="12">
        <f>SUM(D17:D18)</f>
        <v>500</v>
      </c>
      <c r="E19" s="311">
        <f>D19/B19</f>
        <v>7.7519379844961239E-3</v>
      </c>
      <c r="F19" s="60"/>
    </row>
    <row r="20" spans="1:6" x14ac:dyDescent="0.2">
      <c r="A20" s="144" t="s">
        <v>13</v>
      </c>
      <c r="B20" s="13"/>
      <c r="C20" s="13"/>
      <c r="D20" s="11"/>
      <c r="E20" s="51"/>
      <c r="F20" s="60"/>
    </row>
    <row r="21" spans="1:6" x14ac:dyDescent="0.2">
      <c r="A21" s="58" t="s">
        <v>411</v>
      </c>
      <c r="B21" s="88"/>
      <c r="C21" s="88"/>
      <c r="D21" s="75"/>
      <c r="E21" s="51" t="s">
        <v>0</v>
      </c>
      <c r="F21" s="60"/>
    </row>
    <row r="22" spans="1:6" x14ac:dyDescent="0.2">
      <c r="A22" s="58" t="s">
        <v>158</v>
      </c>
      <c r="B22" s="108">
        <v>650</v>
      </c>
      <c r="C22" s="108">
        <v>0</v>
      </c>
      <c r="D22" s="75">
        <f>C22-B22</f>
        <v>-650</v>
      </c>
      <c r="E22" s="51">
        <f>D22/B22</f>
        <v>-1</v>
      </c>
      <c r="F22" s="60"/>
    </row>
    <row r="23" spans="1:6" x14ac:dyDescent="0.2">
      <c r="A23" s="58" t="s">
        <v>159</v>
      </c>
      <c r="B23" s="88">
        <v>10</v>
      </c>
      <c r="C23" s="88">
        <v>0</v>
      </c>
      <c r="D23" s="75">
        <f>C23-B23</f>
        <v>-10</v>
      </c>
      <c r="E23" s="51">
        <f>D23/B23</f>
        <v>-1</v>
      </c>
      <c r="F23" s="60"/>
    </row>
    <row r="24" spans="1:6" x14ac:dyDescent="0.2">
      <c r="A24" s="58" t="s">
        <v>160</v>
      </c>
      <c r="B24" s="108">
        <v>150</v>
      </c>
      <c r="C24" s="108">
        <v>0</v>
      </c>
      <c r="D24" s="88">
        <f>C24-B24</f>
        <v>-150</v>
      </c>
      <c r="E24" s="51">
        <f>D24/B24</f>
        <v>-1</v>
      </c>
      <c r="F24" s="60"/>
    </row>
    <row r="25" spans="1:6" x14ac:dyDescent="0.2">
      <c r="A25" s="194" t="s">
        <v>161</v>
      </c>
      <c r="B25" s="87">
        <v>125</v>
      </c>
      <c r="C25" s="87">
        <v>0</v>
      </c>
      <c r="D25" s="302">
        <f>C25-B25</f>
        <v>-125</v>
      </c>
      <c r="E25" s="102">
        <v>0</v>
      </c>
      <c r="F25" s="60"/>
    </row>
    <row r="26" spans="1:6" x14ac:dyDescent="0.2">
      <c r="A26" s="145"/>
      <c r="B26" s="12">
        <f>SUM(B21:B25)</f>
        <v>935</v>
      </c>
      <c r="C26" s="12">
        <f>SUM(C21:C25)</f>
        <v>0</v>
      </c>
      <c r="D26" s="12">
        <f>SUM(D21:D25)</f>
        <v>-935</v>
      </c>
      <c r="E26" s="51">
        <f>D26/B26</f>
        <v>-1</v>
      </c>
      <c r="F26" s="60"/>
    </row>
    <row r="27" spans="1:6" x14ac:dyDescent="0.2">
      <c r="A27" s="145"/>
      <c r="B27" s="12"/>
      <c r="C27" s="12"/>
      <c r="D27" s="12"/>
      <c r="E27" s="51"/>
      <c r="F27" s="60"/>
    </row>
    <row r="28" spans="1:6" x14ac:dyDescent="0.2">
      <c r="A28" s="144" t="s">
        <v>415</v>
      </c>
      <c r="B28" s="12"/>
      <c r="C28" s="12"/>
      <c r="D28" s="12"/>
      <c r="E28" s="51"/>
      <c r="F28" s="60"/>
    </row>
    <row r="29" spans="1:6" x14ac:dyDescent="0.2">
      <c r="A29" s="2" t="s">
        <v>416</v>
      </c>
      <c r="B29" s="25">
        <v>1800</v>
      </c>
      <c r="C29" s="25">
        <v>0</v>
      </c>
      <c r="D29" s="16">
        <f t="shared" ref="D29:D37" si="0">C29-B29</f>
        <v>-1800</v>
      </c>
      <c r="E29" s="51">
        <f t="shared" ref="E29:E37" si="1">D29/B29</f>
        <v>-1</v>
      </c>
      <c r="F29" s="60"/>
    </row>
    <row r="30" spans="1:6" x14ac:dyDescent="0.2">
      <c r="A30" s="151" t="s">
        <v>463</v>
      </c>
      <c r="B30" s="25">
        <v>5500</v>
      </c>
      <c r="C30" s="25">
        <v>6200</v>
      </c>
      <c r="D30" s="16">
        <f>C30-B30</f>
        <v>700</v>
      </c>
      <c r="E30" s="51">
        <f t="shared" si="1"/>
        <v>0.12727272727272726</v>
      </c>
      <c r="F30" s="60"/>
    </row>
    <row r="31" spans="1:6" x14ac:dyDescent="0.2">
      <c r="A31" s="151" t="s">
        <v>417</v>
      </c>
      <c r="B31" s="25">
        <v>3000</v>
      </c>
      <c r="C31" s="25">
        <v>4300</v>
      </c>
      <c r="D31" s="16">
        <f t="shared" si="0"/>
        <v>1300</v>
      </c>
      <c r="E31" s="51">
        <f t="shared" si="1"/>
        <v>0.43333333333333335</v>
      </c>
      <c r="F31" s="60"/>
    </row>
    <row r="32" spans="1:6" x14ac:dyDescent="0.2">
      <c r="A32" s="58" t="s">
        <v>418</v>
      </c>
      <c r="B32" s="25">
        <v>2455</v>
      </c>
      <c r="C32" s="25">
        <v>750</v>
      </c>
      <c r="D32" s="16">
        <f t="shared" si="0"/>
        <v>-1705</v>
      </c>
      <c r="E32" s="51">
        <f t="shared" si="1"/>
        <v>-0.69450101832993894</v>
      </c>
    </row>
    <row r="33" spans="1:6" x14ac:dyDescent="0.2">
      <c r="A33" s="58" t="s">
        <v>419</v>
      </c>
      <c r="B33" s="25">
        <v>4100</v>
      </c>
      <c r="C33" s="25">
        <v>4500</v>
      </c>
      <c r="D33" s="16">
        <f t="shared" si="0"/>
        <v>400</v>
      </c>
      <c r="E33" s="51">
        <f t="shared" si="1"/>
        <v>9.7560975609756101E-2</v>
      </c>
    </row>
    <row r="34" spans="1:6" x14ac:dyDescent="0.2">
      <c r="A34" s="58" t="s">
        <v>420</v>
      </c>
      <c r="B34" s="25">
        <v>2400</v>
      </c>
      <c r="C34" s="25">
        <f>12*200</f>
        <v>2400</v>
      </c>
      <c r="D34" s="16">
        <f t="shared" si="0"/>
        <v>0</v>
      </c>
      <c r="E34" s="51">
        <f t="shared" si="1"/>
        <v>0</v>
      </c>
    </row>
    <row r="35" spans="1:6" x14ac:dyDescent="0.2">
      <c r="A35" s="58" t="s">
        <v>423</v>
      </c>
      <c r="B35" s="25">
        <v>150</v>
      </c>
      <c r="C35" s="380">
        <v>150</v>
      </c>
      <c r="D35" s="16">
        <f t="shared" si="0"/>
        <v>0</v>
      </c>
      <c r="E35" s="51">
        <f t="shared" si="1"/>
        <v>0</v>
      </c>
    </row>
    <row r="36" spans="1:6" x14ac:dyDescent="0.2">
      <c r="A36" s="58" t="s">
        <v>422</v>
      </c>
      <c r="B36" s="25">
        <v>700</v>
      </c>
      <c r="C36" s="380">
        <v>950</v>
      </c>
      <c r="D36" s="16">
        <f t="shared" si="0"/>
        <v>250</v>
      </c>
      <c r="E36" s="51">
        <f t="shared" si="1"/>
        <v>0.35714285714285715</v>
      </c>
    </row>
    <row r="37" spans="1:6" x14ac:dyDescent="0.2">
      <c r="A37" s="58" t="s">
        <v>421</v>
      </c>
      <c r="B37" s="362">
        <v>400</v>
      </c>
      <c r="C37" s="382">
        <v>800</v>
      </c>
      <c r="D37" s="302">
        <f t="shared" si="0"/>
        <v>400</v>
      </c>
      <c r="E37" s="102">
        <f t="shared" si="1"/>
        <v>1</v>
      </c>
    </row>
    <row r="38" spans="1:6" x14ac:dyDescent="0.2">
      <c r="A38" s="145"/>
      <c r="B38" s="12">
        <f>SUM(B29:B37)</f>
        <v>20505</v>
      </c>
      <c r="C38" s="12">
        <f>SUM(C29:C37)</f>
        <v>20050</v>
      </c>
      <c r="D38" s="12">
        <f>SUM(D29:D37)</f>
        <v>-455</v>
      </c>
      <c r="E38" s="51">
        <f>D38/B38</f>
        <v>-2.2189709826871493E-2</v>
      </c>
      <c r="F38" s="60"/>
    </row>
    <row r="39" spans="1:6" x14ac:dyDescent="0.2">
      <c r="A39" s="145"/>
      <c r="B39" s="12"/>
      <c r="C39" s="12"/>
      <c r="D39" s="12"/>
      <c r="E39" s="51"/>
      <c r="F39" s="60"/>
    </row>
    <row r="40" spans="1:6" x14ac:dyDescent="0.2">
      <c r="A40" s="144" t="s">
        <v>412</v>
      </c>
      <c r="B40" s="12"/>
      <c r="C40" s="12"/>
      <c r="D40" s="12"/>
      <c r="E40" s="51"/>
      <c r="F40" s="60"/>
    </row>
    <row r="41" spans="1:6" x14ac:dyDescent="0.2">
      <c r="A41" s="2" t="s">
        <v>413</v>
      </c>
      <c r="B41" s="25">
        <v>8000</v>
      </c>
      <c r="C41" s="25">
        <v>5000</v>
      </c>
      <c r="D41" s="16">
        <f>C41-B41</f>
        <v>-3000</v>
      </c>
      <c r="E41" s="51">
        <v>0</v>
      </c>
      <c r="F41" s="60"/>
    </row>
    <row r="42" spans="1:6" x14ac:dyDescent="0.2">
      <c r="A42" s="2" t="s">
        <v>391</v>
      </c>
      <c r="B42" s="25">
        <v>4500</v>
      </c>
      <c r="C42" s="25">
        <v>3500</v>
      </c>
      <c r="D42" s="16">
        <f>C42-B42</f>
        <v>-1000</v>
      </c>
      <c r="E42" s="51">
        <v>0</v>
      </c>
      <c r="F42" s="60"/>
    </row>
    <row r="43" spans="1:6" x14ac:dyDescent="0.2">
      <c r="A43" s="2" t="s">
        <v>392</v>
      </c>
      <c r="B43" s="25">
        <v>4200</v>
      </c>
      <c r="C43" s="25">
        <v>2500</v>
      </c>
      <c r="D43" s="16">
        <f>C43-B43</f>
        <v>-1700</v>
      </c>
      <c r="E43" s="51">
        <v>0</v>
      </c>
      <c r="F43" s="60"/>
    </row>
    <row r="44" spans="1:6" x14ac:dyDescent="0.2">
      <c r="A44" s="58" t="s">
        <v>414</v>
      </c>
      <c r="B44" s="383">
        <v>1700</v>
      </c>
      <c r="C44" s="383">
        <v>1700</v>
      </c>
      <c r="D44" s="381">
        <f>C44-B44</f>
        <v>0</v>
      </c>
      <c r="E44" s="102">
        <v>0</v>
      </c>
      <c r="F44" s="60"/>
    </row>
    <row r="45" spans="1:6" x14ac:dyDescent="0.2">
      <c r="A45" s="194"/>
      <c r="B45" s="12">
        <f>SUM(B41:B44)</f>
        <v>18400</v>
      </c>
      <c r="C45" s="12">
        <f>SUM(C41:C44)</f>
        <v>12700</v>
      </c>
      <c r="D45" s="12">
        <f>SUM(D41:D44)</f>
        <v>-5700</v>
      </c>
      <c r="E45" s="51"/>
      <c r="F45" s="60"/>
    </row>
    <row r="46" spans="1:6" x14ac:dyDescent="0.2">
      <c r="A46" s="6"/>
      <c r="B46" s="92"/>
      <c r="C46" s="159"/>
      <c r="D46" s="13"/>
      <c r="E46" s="51"/>
      <c r="F46" s="60"/>
    </row>
    <row r="47" spans="1:6" ht="15" x14ac:dyDescent="0.25">
      <c r="A47" s="77" t="s">
        <v>64</v>
      </c>
      <c r="B47" s="172">
        <f>B26+B19+B14+B9+B38+B45</f>
        <v>109410</v>
      </c>
      <c r="C47" s="199">
        <f>C26+C19+C14+C9+C38+C45</f>
        <v>99820</v>
      </c>
      <c r="D47" s="199">
        <f>D26+D19+D14+D9+D38+D45</f>
        <v>-9590</v>
      </c>
      <c r="E47" s="173">
        <f>D47/B47</f>
        <v>-8.7651951375559825E-2</v>
      </c>
      <c r="F47" s="60"/>
    </row>
    <row r="48" spans="1:6" x14ac:dyDescent="0.2">
      <c r="A48" s="146"/>
      <c r="B48" s="47"/>
      <c r="C48" s="47"/>
      <c r="D48" s="47"/>
      <c r="E48" s="149"/>
      <c r="F48" s="60"/>
    </row>
    <row r="49" spans="3:6" x14ac:dyDescent="0.2">
      <c r="C49" s="38"/>
      <c r="F49" s="60"/>
    </row>
    <row r="50" spans="3:6" x14ac:dyDescent="0.2">
      <c r="F50" s="60"/>
    </row>
  </sheetData>
  <phoneticPr fontId="0" type="noConversion"/>
  <pageMargins left="1" right="0.5" top="1" bottom="1" header="0.5" footer="0.5"/>
  <pageSetup scale="97" orientation="portrait" horizontalDpi="300" verticalDpi="300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A80"/>
  <sheetViews>
    <sheetView zoomScaleNormal="100" workbookViewId="0">
      <pane xSplit="1" ySplit="5" topLeftCell="P6" activePane="bottomRight" state="frozen"/>
      <selection activeCell="A42" sqref="A42"/>
      <selection pane="topRight" activeCell="A42" sqref="A42"/>
      <selection pane="bottomLeft" activeCell="A42" sqref="A42"/>
      <selection pane="bottomRight" activeCell="T35" sqref="T35"/>
    </sheetView>
  </sheetViews>
  <sheetFormatPr defaultColWidth="13.28515625" defaultRowHeight="12.75" x14ac:dyDescent="0.2"/>
  <cols>
    <col min="1" max="1" width="30.28515625" style="239" customWidth="1"/>
    <col min="2" max="2" width="12.28515625" style="239" customWidth="1"/>
    <col min="3" max="3" width="12" style="239" customWidth="1"/>
    <col min="4" max="6" width="12.28515625" style="239" customWidth="1"/>
    <col min="7" max="13" width="12" style="239" customWidth="1"/>
    <col min="14" max="14" width="17.28515625" style="239" customWidth="1"/>
    <col min="15" max="15" width="12.28515625" style="239" customWidth="1"/>
    <col min="16" max="17" width="12" style="239" customWidth="1"/>
    <col min="18" max="18" width="12.28515625" style="239" customWidth="1"/>
    <col min="19" max="19" width="15" style="239" customWidth="1"/>
    <col min="20" max="20" width="20.28515625" style="239" bestFit="1" customWidth="1"/>
    <col min="21" max="21" width="13.28515625" style="239"/>
    <col min="22" max="22" width="17.28515625" style="239" bestFit="1" customWidth="1"/>
    <col min="23" max="16384" width="13.28515625" style="239"/>
  </cols>
  <sheetData>
    <row r="1" spans="1:25" ht="15.75" x14ac:dyDescent="0.25">
      <c r="A1" s="3" t="s">
        <v>486</v>
      </c>
    </row>
    <row r="2" spans="1:25" ht="15.75" x14ac:dyDescent="0.25">
      <c r="A2" s="359" t="str">
        <f>Income!A4</f>
        <v>1st Draft</v>
      </c>
      <c r="L2" s="239" t="s">
        <v>0</v>
      </c>
      <c r="O2" s="240" t="s">
        <v>0</v>
      </c>
      <c r="P2" s="240" t="s">
        <v>0</v>
      </c>
      <c r="Q2" s="240"/>
      <c r="R2" s="240" t="s">
        <v>0</v>
      </c>
    </row>
    <row r="3" spans="1:25" s="241" customFormat="1" hidden="1" x14ac:dyDescent="0.2">
      <c r="B3" s="242">
        <v>5.74</v>
      </c>
      <c r="C3" s="242">
        <v>2.46</v>
      </c>
      <c r="D3" s="242">
        <v>5.3</v>
      </c>
      <c r="E3" s="242">
        <v>4.57</v>
      </c>
      <c r="F3" s="242"/>
      <c r="G3" s="242">
        <v>12.64</v>
      </c>
      <c r="H3" s="242">
        <v>5.98</v>
      </c>
      <c r="I3" s="242">
        <v>10.73</v>
      </c>
      <c r="J3" s="242">
        <v>0.88</v>
      </c>
      <c r="K3" s="242"/>
      <c r="L3" s="242">
        <v>4.83</v>
      </c>
      <c r="M3" s="242">
        <v>2.69</v>
      </c>
      <c r="N3" s="242">
        <v>7.7</v>
      </c>
      <c r="O3" s="242">
        <v>2.82</v>
      </c>
      <c r="P3" s="242">
        <v>6.63</v>
      </c>
      <c r="Q3" s="242">
        <v>1.66</v>
      </c>
      <c r="R3" s="242">
        <v>12.77</v>
      </c>
      <c r="S3" s="241">
        <f>SUM(B3:R3)</f>
        <v>87.399999999999991</v>
      </c>
      <c r="T3" s="241" t="s">
        <v>243</v>
      </c>
    </row>
    <row r="4" spans="1:25" ht="12.75" customHeight="1" x14ac:dyDescent="0.2">
      <c r="B4" s="413" t="s">
        <v>190</v>
      </c>
      <c r="C4" s="413" t="s">
        <v>244</v>
      </c>
      <c r="D4" s="413" t="s">
        <v>245</v>
      </c>
      <c r="E4" s="413" t="s">
        <v>246</v>
      </c>
      <c r="F4" s="413" t="s">
        <v>397</v>
      </c>
      <c r="G4" s="413" t="s">
        <v>247</v>
      </c>
      <c r="H4" s="416" t="s">
        <v>248</v>
      </c>
      <c r="I4" s="414" t="s">
        <v>459</v>
      </c>
      <c r="J4" s="413" t="s">
        <v>249</v>
      </c>
      <c r="K4" s="413" t="s">
        <v>395</v>
      </c>
      <c r="L4" s="414" t="s">
        <v>250</v>
      </c>
      <c r="M4" s="413" t="s">
        <v>251</v>
      </c>
      <c r="N4" s="413" t="s">
        <v>252</v>
      </c>
      <c r="O4" s="413" t="s">
        <v>253</v>
      </c>
      <c r="P4" s="413" t="s">
        <v>254</v>
      </c>
      <c r="Q4" s="413" t="s">
        <v>255</v>
      </c>
      <c r="R4" s="414" t="s">
        <v>256</v>
      </c>
      <c r="S4" s="415" t="s">
        <v>257</v>
      </c>
    </row>
    <row r="5" spans="1:25" ht="15.75" customHeight="1" x14ac:dyDescent="0.25">
      <c r="A5" s="243" t="s">
        <v>41</v>
      </c>
      <c r="B5" s="413"/>
      <c r="C5" s="413"/>
      <c r="D5" s="413"/>
      <c r="E5" s="413"/>
      <c r="F5" s="413"/>
      <c r="G5" s="413"/>
      <c r="H5" s="416"/>
      <c r="I5" s="414"/>
      <c r="J5" s="413"/>
      <c r="K5" s="413"/>
      <c r="L5" s="414"/>
      <c r="M5" s="413"/>
      <c r="N5" s="413"/>
      <c r="O5" s="413"/>
      <c r="P5" s="413"/>
      <c r="Q5" s="413"/>
      <c r="R5" s="414"/>
      <c r="S5" s="415"/>
      <c r="T5" s="390" t="s">
        <v>501</v>
      </c>
      <c r="V5" s="399" t="s">
        <v>531</v>
      </c>
      <c r="W5" s="399" t="s">
        <v>530</v>
      </c>
      <c r="X5" s="400" t="s">
        <v>44</v>
      </c>
      <c r="Y5" s="401" t="s">
        <v>44</v>
      </c>
    </row>
    <row r="6" spans="1:25" ht="15" x14ac:dyDescent="0.25">
      <c r="A6" s="244"/>
      <c r="B6" s="245"/>
      <c r="C6" s="245"/>
      <c r="D6" s="245"/>
      <c r="E6" s="245"/>
      <c r="F6" s="245"/>
      <c r="G6" s="245"/>
      <c r="H6" s="246"/>
      <c r="I6" s="245"/>
      <c r="J6" s="247"/>
      <c r="K6" s="247"/>
      <c r="L6" s="245"/>
      <c r="M6" s="247"/>
      <c r="N6" s="245"/>
      <c r="O6" s="248"/>
      <c r="P6" s="245"/>
      <c r="Q6" s="245"/>
      <c r="R6" s="245"/>
      <c r="S6" s="245"/>
      <c r="T6" s="249"/>
      <c r="V6" s="402"/>
      <c r="W6" s="402"/>
      <c r="X6" s="400" t="s">
        <v>45</v>
      </c>
      <c r="Y6" s="400" t="s">
        <v>46</v>
      </c>
    </row>
    <row r="7" spans="1:25" x14ac:dyDescent="0.2">
      <c r="A7" s="250" t="s">
        <v>258</v>
      </c>
      <c r="B7" s="251">
        <f>+'Ann Sess'!C17</f>
        <v>74225</v>
      </c>
      <c r="C7" s="251">
        <f>+'ADA Ann Sess'!C30</f>
        <v>68426</v>
      </c>
      <c r="D7" s="251">
        <f>+'Dtl Ed'!C13</f>
        <v>36500</v>
      </c>
      <c r="E7" s="251">
        <f>+'Captl Conf'!C15</f>
        <v>60755</v>
      </c>
      <c r="F7" s="251">
        <f>'Policy and Structure'!C10</f>
        <v>1960</v>
      </c>
      <c r="G7" s="251">
        <f>+'Government Affairs'!C13</f>
        <v>23000</v>
      </c>
      <c r="H7" s="252">
        <f>+'Mbr Srvs'!C10</f>
        <v>1365</v>
      </c>
      <c r="I7" s="251">
        <f>+Membership!C11</f>
        <v>27650</v>
      </c>
      <c r="J7" s="253">
        <f>+'New Dts'!C11</f>
        <v>3300</v>
      </c>
      <c r="K7" s="253">
        <f>DEI!C10</f>
        <v>2700</v>
      </c>
      <c r="L7" s="251">
        <f>+Access!C14</f>
        <v>14100</v>
      </c>
      <c r="M7" s="254">
        <f>+'Dtl Bene'!C12</f>
        <v>2800</v>
      </c>
      <c r="N7" s="251">
        <f>Communications!C9</f>
        <v>0</v>
      </c>
      <c r="O7" s="251">
        <f>+HOD!C17</f>
        <v>29300</v>
      </c>
      <c r="P7" s="251">
        <f>+Board2!C23</f>
        <v>114581</v>
      </c>
      <c r="Q7" s="251">
        <f>+Midwinter!C16</f>
        <v>14900</v>
      </c>
      <c r="R7" s="251">
        <v>0</v>
      </c>
      <c r="S7" s="255">
        <f>SUM(B7:R7)</f>
        <v>475562</v>
      </c>
      <c r="T7" s="385">
        <v>468491</v>
      </c>
      <c r="V7" s="402">
        <v>494961</v>
      </c>
      <c r="W7" s="402">
        <v>347220.86</v>
      </c>
      <c r="X7" s="122">
        <f>W7-V7</f>
        <v>-147740.14000000001</v>
      </c>
      <c r="Y7" s="97">
        <f>(X7/V7)</f>
        <v>-0.29848844656447682</v>
      </c>
    </row>
    <row r="8" spans="1:25" x14ac:dyDescent="0.2">
      <c r="B8" s="251"/>
      <c r="C8" s="251"/>
      <c r="D8" s="251"/>
      <c r="E8" s="251"/>
      <c r="F8" s="251"/>
      <c r="G8" s="251"/>
      <c r="H8" s="252"/>
      <c r="I8" s="251"/>
      <c r="J8" s="253"/>
      <c r="K8" s="253"/>
      <c r="L8" s="251"/>
      <c r="M8" s="251"/>
      <c r="N8" s="251"/>
      <c r="O8" s="251"/>
      <c r="P8" s="251"/>
      <c r="Q8" s="251"/>
      <c r="R8" s="251"/>
      <c r="S8" s="255"/>
      <c r="T8" s="386"/>
      <c r="V8" s="402"/>
      <c r="W8" s="402"/>
      <c r="X8" s="402"/>
      <c r="Y8" s="402"/>
    </row>
    <row r="9" spans="1:25" x14ac:dyDescent="0.2">
      <c r="A9" s="250" t="s">
        <v>259</v>
      </c>
      <c r="B9" s="251">
        <f>+'Ann Sess'!C19</f>
        <v>1600</v>
      </c>
      <c r="C9" s="251">
        <f>+'ADA Ann Sess'!C36</f>
        <v>49350</v>
      </c>
      <c r="D9" s="251">
        <f>+'Dtl Ed'!C17</f>
        <v>2070</v>
      </c>
      <c r="E9" s="251">
        <f>+'Captl Conf'!C17:C17</f>
        <v>2835</v>
      </c>
      <c r="F9" s="251">
        <f>'Policy and Structure'!C15</f>
        <v>1540</v>
      </c>
      <c r="G9" s="251">
        <f>+'Government Affairs'!C17</f>
        <v>4905</v>
      </c>
      <c r="H9" s="252">
        <f>+'Mbr Srvs'!C16</f>
        <v>1870</v>
      </c>
      <c r="I9" s="251">
        <f>+Membership!C15</f>
        <v>2470</v>
      </c>
      <c r="J9" s="253">
        <f>+'New Dts'!C15</f>
        <v>2740</v>
      </c>
      <c r="K9" s="253">
        <f>DEI!C15</f>
        <v>2470</v>
      </c>
      <c r="L9" s="251">
        <f>+Access!C18</f>
        <v>2070</v>
      </c>
      <c r="M9" s="251">
        <f>+'Dtl Bene'!C17</f>
        <v>2070</v>
      </c>
      <c r="N9" s="251">
        <f>+Communications!C14</f>
        <v>2070</v>
      </c>
      <c r="O9" s="251">
        <f>+HOD!C24</f>
        <v>33600</v>
      </c>
      <c r="P9" s="251">
        <f>+Board2!C38</f>
        <v>37930</v>
      </c>
      <c r="Q9" s="251">
        <f>+Midwinter!C19</f>
        <v>2700</v>
      </c>
      <c r="R9" s="255">
        <v>0</v>
      </c>
      <c r="S9" s="255">
        <f>SUM(B9:R9)</f>
        <v>152290</v>
      </c>
      <c r="T9" s="385">
        <v>146965</v>
      </c>
      <c r="V9" s="402">
        <v>146190</v>
      </c>
      <c r="W9" s="402">
        <v>124095</v>
      </c>
      <c r="X9" s="122">
        <f>W9-V9</f>
        <v>-22095</v>
      </c>
      <c r="Y9" s="97">
        <f>(X9/V9)</f>
        <v>-0.151138928791299</v>
      </c>
    </row>
    <row r="10" spans="1:25" x14ac:dyDescent="0.2">
      <c r="B10" s="251"/>
      <c r="C10" s="251"/>
      <c r="D10" s="251"/>
      <c r="E10" s="251"/>
      <c r="F10" s="251"/>
      <c r="G10" s="251"/>
      <c r="H10" s="252"/>
      <c r="I10" s="251"/>
      <c r="J10" s="253"/>
      <c r="K10" s="253"/>
      <c r="L10" s="251"/>
      <c r="M10" s="251"/>
      <c r="N10" s="251"/>
      <c r="O10" s="251"/>
      <c r="P10" s="251"/>
      <c r="Q10" s="251"/>
      <c r="R10" s="251"/>
      <c r="S10" s="255"/>
      <c r="T10" s="386"/>
      <c r="V10" s="402"/>
      <c r="W10" s="402"/>
      <c r="X10" s="402"/>
      <c r="Y10" s="402"/>
    </row>
    <row r="11" spans="1:25" x14ac:dyDescent="0.2">
      <c r="A11" s="239" t="s">
        <v>260</v>
      </c>
      <c r="B11" s="251">
        <v>0</v>
      </c>
      <c r="C11" s="251">
        <v>0</v>
      </c>
      <c r="D11" s="251">
        <f>'Dtl Ed'!C19</f>
        <v>1000</v>
      </c>
      <c r="E11" s="251">
        <v>0</v>
      </c>
      <c r="F11" s="251">
        <f>'Policy and Structure'!C18</f>
        <v>500</v>
      </c>
      <c r="G11" s="251">
        <f>+'Government Affairs'!C20</f>
        <v>5000</v>
      </c>
      <c r="H11" s="252">
        <f>+'Mbr Srvs'!C18</f>
        <v>1000</v>
      </c>
      <c r="I11" s="251">
        <v>0</v>
      </c>
      <c r="J11" s="253">
        <v>0</v>
      </c>
      <c r="K11" s="253">
        <v>0</v>
      </c>
      <c r="L11" s="251">
        <v>0</v>
      </c>
      <c r="M11" s="251">
        <f>+'Dtl Bene'!C20</f>
        <v>0</v>
      </c>
      <c r="N11" s="251">
        <v>0</v>
      </c>
      <c r="O11" s="251">
        <f>+HOD!C27</f>
        <v>0</v>
      </c>
      <c r="P11" s="251">
        <f>+Board2!C41</f>
        <v>2000</v>
      </c>
      <c r="Q11" s="251">
        <v>0</v>
      </c>
      <c r="R11" s="251">
        <f>+Headquarters!C9</f>
        <v>3000</v>
      </c>
      <c r="S11" s="255">
        <f>SUM(B11:R11)</f>
        <v>12500</v>
      </c>
      <c r="T11" s="386">
        <v>12500</v>
      </c>
      <c r="V11" s="402">
        <v>13650</v>
      </c>
      <c r="W11" s="402">
        <v>5468.75</v>
      </c>
      <c r="X11" s="122">
        <f>W11-V11</f>
        <v>-8181.25</v>
      </c>
      <c r="Y11" s="97">
        <f>(X11/V11)</f>
        <v>-0.59935897435897434</v>
      </c>
    </row>
    <row r="12" spans="1:25" x14ac:dyDescent="0.2">
      <c r="B12" s="251"/>
      <c r="C12" s="251"/>
      <c r="D12" s="251"/>
      <c r="E12" s="251"/>
      <c r="F12" s="251"/>
      <c r="G12" s="251"/>
      <c r="H12" s="252"/>
      <c r="I12" s="251"/>
      <c r="J12" s="253"/>
      <c r="K12" s="253"/>
      <c r="L12" s="251"/>
      <c r="M12" s="251"/>
      <c r="N12" s="251"/>
      <c r="O12" s="251"/>
      <c r="P12" s="251"/>
      <c r="Q12" s="251"/>
      <c r="R12" s="251"/>
      <c r="S12" s="255"/>
      <c r="T12" s="386"/>
      <c r="V12" s="402"/>
      <c r="W12" s="402"/>
      <c r="X12" s="402"/>
      <c r="Y12" s="402"/>
    </row>
    <row r="13" spans="1:25" x14ac:dyDescent="0.2">
      <c r="A13" s="239" t="s">
        <v>261</v>
      </c>
      <c r="B13" s="251">
        <v>0</v>
      </c>
      <c r="C13" s="251">
        <v>0</v>
      </c>
      <c r="D13" s="251">
        <v>0</v>
      </c>
      <c r="E13" s="251">
        <v>0</v>
      </c>
      <c r="F13" s="251">
        <v>0</v>
      </c>
      <c r="G13" s="251">
        <f>+'Government Affairs'!C23</f>
        <v>55000</v>
      </c>
      <c r="H13" s="252">
        <v>0</v>
      </c>
      <c r="I13" s="251">
        <v>0</v>
      </c>
      <c r="J13" s="253">
        <v>0</v>
      </c>
      <c r="K13" s="253">
        <v>0</v>
      </c>
      <c r="L13" s="251">
        <v>0</v>
      </c>
      <c r="M13" s="251">
        <v>0</v>
      </c>
      <c r="N13" s="251">
        <f>+Communications!C19</f>
        <v>65000</v>
      </c>
      <c r="O13" s="251">
        <v>0</v>
      </c>
      <c r="P13" s="251">
        <v>0</v>
      </c>
      <c r="Q13" s="251">
        <v>0</v>
      </c>
      <c r="R13" s="251">
        <v>0</v>
      </c>
      <c r="S13" s="255">
        <f>SUM(B13:R13)</f>
        <v>120000</v>
      </c>
      <c r="T13" s="386">
        <v>114500</v>
      </c>
      <c r="V13" s="402">
        <v>99500</v>
      </c>
      <c r="W13" s="402">
        <v>102800</v>
      </c>
      <c r="X13" s="122">
        <f>W13-V13</f>
        <v>3300</v>
      </c>
      <c r="Y13" s="97">
        <f>(X13/V13)</f>
        <v>3.3165829145728645E-2</v>
      </c>
    </row>
    <row r="14" spans="1:25" x14ac:dyDescent="0.2">
      <c r="B14" s="251"/>
      <c r="C14" s="251"/>
      <c r="D14" s="251"/>
      <c r="E14" s="251"/>
      <c r="F14" s="251"/>
      <c r="G14" s="251"/>
      <c r="H14" s="252"/>
      <c r="I14" s="251"/>
      <c r="J14" s="253"/>
      <c r="K14" s="253"/>
      <c r="L14" s="251"/>
      <c r="M14" s="251"/>
      <c r="N14" s="251"/>
      <c r="O14" s="251"/>
      <c r="P14" s="251"/>
      <c r="Q14" s="251"/>
      <c r="R14" s="251"/>
      <c r="S14" s="255"/>
      <c r="T14" s="386"/>
      <c r="V14" s="402"/>
      <c r="W14" s="402"/>
      <c r="X14" s="402"/>
      <c r="Y14" s="402"/>
    </row>
    <row r="15" spans="1:25" x14ac:dyDescent="0.2">
      <c r="A15" s="239" t="s">
        <v>262</v>
      </c>
      <c r="B15" s="251">
        <f>+'Ann Sess'!C27</f>
        <v>7935</v>
      </c>
      <c r="C15" s="251">
        <f>+'ADA Ann Sess'!C45</f>
        <v>15480</v>
      </c>
      <c r="D15" s="251">
        <f>+'Dtl Ed'!C22</f>
        <v>3750</v>
      </c>
      <c r="E15" s="251">
        <f>+'Captl Conf'!C20</f>
        <v>100</v>
      </c>
      <c r="F15" s="251">
        <f>'Policy and Structure'!C21</f>
        <v>0</v>
      </c>
      <c r="G15" s="251">
        <f>+'Government Affairs'!C47</f>
        <v>14650</v>
      </c>
      <c r="H15" s="252">
        <f>'Mbr Srvs'!C21</f>
        <v>2360</v>
      </c>
      <c r="I15" s="251">
        <f>+Membership!C19</f>
        <v>6750</v>
      </c>
      <c r="J15" s="253">
        <f>+'New Dts'!C19</f>
        <v>400</v>
      </c>
      <c r="K15" s="253">
        <f>DEI!C18</f>
        <v>500</v>
      </c>
      <c r="L15" s="251">
        <f>Access!C20</f>
        <v>750</v>
      </c>
      <c r="M15" s="251">
        <f>+'Dtl Bene'!C23</f>
        <v>0</v>
      </c>
      <c r="N15" s="251">
        <f>+Communications!C26</f>
        <v>0</v>
      </c>
      <c r="O15" s="251"/>
      <c r="P15" s="251">
        <f>+Board2!C52</f>
        <v>5770</v>
      </c>
      <c r="Q15" s="251">
        <f>+Midwinter!C26</f>
        <v>5600</v>
      </c>
      <c r="R15" s="251">
        <f>+Headquarters!C23</f>
        <v>9075</v>
      </c>
      <c r="S15" s="255">
        <f>SUM(B15:R15)</f>
        <v>73120</v>
      </c>
      <c r="T15" s="386">
        <v>78420</v>
      </c>
      <c r="V15" s="402">
        <v>75270</v>
      </c>
      <c r="W15" s="402">
        <v>56198.080000000002</v>
      </c>
      <c r="X15" s="122">
        <f>W15-V15</f>
        <v>-19071.919999999998</v>
      </c>
      <c r="Y15" s="97">
        <f>(X15/V15)</f>
        <v>-0.25338009831274078</v>
      </c>
    </row>
    <row r="16" spans="1:25" x14ac:dyDescent="0.2">
      <c r="B16" s="251"/>
      <c r="C16" s="251"/>
      <c r="D16" s="251"/>
      <c r="E16" s="251"/>
      <c r="F16" s="251"/>
      <c r="G16" s="251"/>
      <c r="H16" s="252"/>
      <c r="I16" s="251"/>
      <c r="J16" s="253"/>
      <c r="K16" s="253"/>
      <c r="L16" s="251"/>
      <c r="M16" s="251"/>
      <c r="N16" s="251"/>
      <c r="O16" s="251"/>
      <c r="P16" s="251"/>
      <c r="Q16" s="251"/>
      <c r="R16" s="251"/>
      <c r="S16" s="255"/>
      <c r="T16" s="386"/>
      <c r="V16" s="402"/>
      <c r="W16" s="402"/>
      <c r="X16" s="402"/>
      <c r="Y16" s="402"/>
    </row>
    <row r="17" spans="1:25" x14ac:dyDescent="0.2">
      <c r="A17" s="281" t="s">
        <v>424</v>
      </c>
      <c r="B17" s="251">
        <f>'Ann Sess'!C30</f>
        <v>6300</v>
      </c>
      <c r="C17" s="251"/>
      <c r="D17" s="251">
        <f>'Dtl Ed'!C27</f>
        <v>8500</v>
      </c>
      <c r="E17" s="251"/>
      <c r="F17" s="251"/>
      <c r="G17" s="251">
        <f>'Government Affairs(2)'!C14</f>
        <v>7380</v>
      </c>
      <c r="H17" s="252"/>
      <c r="I17" s="251">
        <f>Membership!C22</f>
        <v>450</v>
      </c>
      <c r="J17" s="253"/>
      <c r="K17" s="253"/>
      <c r="L17" s="251"/>
      <c r="M17" s="251"/>
      <c r="N17" s="251">
        <f>Communications!C38</f>
        <v>20050</v>
      </c>
      <c r="O17" s="251"/>
      <c r="P17" s="251"/>
      <c r="Q17" s="251"/>
      <c r="R17" s="251">
        <f>Headquarters!C31</f>
        <v>20700</v>
      </c>
      <c r="S17" s="255">
        <f>SUM(B17:R17)</f>
        <v>63380</v>
      </c>
      <c r="T17" s="386">
        <v>48785</v>
      </c>
      <c r="V17" s="402">
        <v>0</v>
      </c>
      <c r="W17" s="402">
        <v>0</v>
      </c>
      <c r="X17" s="122">
        <f>W17-V17</f>
        <v>0</v>
      </c>
      <c r="Y17" s="97" t="e">
        <f>(X17/V17)</f>
        <v>#DIV/0!</v>
      </c>
    </row>
    <row r="18" spans="1:25" x14ac:dyDescent="0.2">
      <c r="B18" s="251"/>
      <c r="C18" s="251"/>
      <c r="D18" s="251"/>
      <c r="E18" s="251"/>
      <c r="F18" s="251"/>
      <c r="G18" s="251"/>
      <c r="H18" s="252"/>
      <c r="I18" s="251"/>
      <c r="J18" s="253"/>
      <c r="K18" s="253"/>
      <c r="L18" s="251"/>
      <c r="M18" s="251"/>
      <c r="N18" s="251"/>
      <c r="O18" s="251"/>
      <c r="P18" s="251"/>
      <c r="Q18" s="251"/>
      <c r="R18" s="251"/>
      <c r="S18" s="255"/>
      <c r="T18" s="386"/>
      <c r="V18" s="402"/>
      <c r="W18" s="402"/>
      <c r="X18" s="402"/>
      <c r="Y18" s="402"/>
    </row>
    <row r="19" spans="1:25" x14ac:dyDescent="0.2">
      <c r="A19" s="281" t="s">
        <v>425</v>
      </c>
      <c r="B19" s="251">
        <f>'Ann Sess'!C33</f>
        <v>1000</v>
      </c>
      <c r="C19" s="251">
        <v>0</v>
      </c>
      <c r="D19" s="251">
        <v>0</v>
      </c>
      <c r="E19" s="251">
        <v>0</v>
      </c>
      <c r="F19" s="251">
        <v>0</v>
      </c>
      <c r="G19" s="251">
        <v>0</v>
      </c>
      <c r="H19" s="252">
        <f>'Mbr Srvs'!C24</f>
        <v>2000</v>
      </c>
      <c r="I19" s="251">
        <f>Membership!C27</f>
        <v>4500</v>
      </c>
      <c r="J19" s="253"/>
      <c r="K19" s="253"/>
      <c r="L19" s="251"/>
      <c r="M19" s="251"/>
      <c r="N19" s="251">
        <f>Communications!C45</f>
        <v>12700</v>
      </c>
      <c r="O19" s="251"/>
      <c r="P19" s="251"/>
      <c r="Q19" s="251"/>
      <c r="R19" s="251"/>
      <c r="S19" s="255">
        <f>SUM(B19:R19)</f>
        <v>20200</v>
      </c>
      <c r="T19" s="386">
        <v>26200</v>
      </c>
      <c r="V19" s="402">
        <v>0</v>
      </c>
      <c r="W19" s="402">
        <v>0</v>
      </c>
      <c r="X19" s="122">
        <f>W19-V19</f>
        <v>0</v>
      </c>
      <c r="Y19" s="97" t="e">
        <f>(X19/V19)</f>
        <v>#DIV/0!</v>
      </c>
    </row>
    <row r="20" spans="1:25" x14ac:dyDescent="0.2">
      <c r="B20" s="251"/>
      <c r="C20" s="251"/>
      <c r="D20" s="251"/>
      <c r="E20" s="251"/>
      <c r="F20" s="251"/>
      <c r="G20" s="251"/>
      <c r="H20" s="252"/>
      <c r="I20" s="251"/>
      <c r="J20" s="253"/>
      <c r="K20" s="253"/>
      <c r="L20" s="251"/>
      <c r="M20" s="251"/>
      <c r="N20" s="251"/>
      <c r="O20" s="251"/>
      <c r="P20" s="251"/>
      <c r="Q20" s="251"/>
      <c r="R20" s="251"/>
      <c r="S20" s="255"/>
      <c r="T20" s="386"/>
      <c r="V20" s="402"/>
      <c r="W20" s="402"/>
      <c r="X20" s="402"/>
      <c r="Y20" s="402"/>
    </row>
    <row r="21" spans="1:25" x14ac:dyDescent="0.2">
      <c r="A21" s="239" t="s">
        <v>263</v>
      </c>
      <c r="B21" s="251">
        <v>0</v>
      </c>
      <c r="C21" s="251">
        <v>0</v>
      </c>
      <c r="D21" s="251">
        <f>+'Dtl Ed'!C31</f>
        <v>78000</v>
      </c>
      <c r="E21" s="251">
        <f>+'Captl Conf'!C24</f>
        <v>1000</v>
      </c>
      <c r="F21" s="251">
        <v>0</v>
      </c>
      <c r="G21" s="251">
        <v>0</v>
      </c>
      <c r="H21" s="252">
        <v>0</v>
      </c>
      <c r="I21" s="251">
        <f>+Membership!C30</f>
        <v>200</v>
      </c>
      <c r="J21" s="253">
        <f>+'New Dts'!C21</f>
        <v>500</v>
      </c>
      <c r="K21" s="253">
        <v>0</v>
      </c>
      <c r="L21" s="251">
        <v>0</v>
      </c>
      <c r="M21" s="251">
        <v>0</v>
      </c>
      <c r="N21" s="251">
        <v>0</v>
      </c>
      <c r="O21" s="251">
        <v>0</v>
      </c>
      <c r="P21" s="251">
        <f>+Board3!C16</f>
        <v>74100</v>
      </c>
      <c r="Q21" s="251">
        <v>0</v>
      </c>
      <c r="R21" s="251">
        <f>Headquarters!C38</f>
        <v>6050</v>
      </c>
      <c r="S21" s="255">
        <f>SUM(B21:R21)</f>
        <v>159850</v>
      </c>
      <c r="T21" s="386">
        <v>156900</v>
      </c>
      <c r="V21" s="402">
        <v>157000</v>
      </c>
      <c r="W21" s="402">
        <v>156005.76999999999</v>
      </c>
      <c r="X21" s="122">
        <f>W21-V21</f>
        <v>-994.23000000001048</v>
      </c>
      <c r="Y21" s="97">
        <f>(X21/V21)</f>
        <v>-6.3326751592357351E-3</v>
      </c>
    </row>
    <row r="22" spans="1:25" x14ac:dyDescent="0.2">
      <c r="B22" s="251"/>
      <c r="C22" s="251"/>
      <c r="D22" s="251"/>
      <c r="E22" s="251"/>
      <c r="F22" s="251"/>
      <c r="G22" s="251"/>
      <c r="H22" s="252"/>
      <c r="I22" s="251"/>
      <c r="J22" s="253"/>
      <c r="K22" s="253"/>
      <c r="L22" s="251"/>
      <c r="M22" s="251"/>
      <c r="N22" s="251"/>
      <c r="O22" s="251"/>
      <c r="P22" s="251"/>
      <c r="Q22" s="251"/>
      <c r="R22" s="251"/>
      <c r="S22" s="255"/>
      <c r="T22" s="386"/>
      <c r="V22" s="402"/>
      <c r="W22" s="402"/>
      <c r="X22" s="402"/>
      <c r="Y22" s="402"/>
    </row>
    <row r="23" spans="1:25" x14ac:dyDescent="0.2">
      <c r="A23" s="239" t="s">
        <v>264</v>
      </c>
      <c r="B23" s="251">
        <f>+'Ann Sess'!C37</f>
        <v>500</v>
      </c>
      <c r="C23" s="251">
        <f>+'ADA Ann Sess'!C47</f>
        <v>0</v>
      </c>
      <c r="D23" s="251">
        <f>+'Dtl Ed'!C35</f>
        <v>2750</v>
      </c>
      <c r="E23" s="251">
        <f>+'Captl Conf'!C29</f>
        <v>200</v>
      </c>
      <c r="F23" s="251">
        <f>'Policy and Structure'!C24</f>
        <v>0</v>
      </c>
      <c r="G23" s="251">
        <f>'Government Affairs(2)'!C17</f>
        <v>50</v>
      </c>
      <c r="H23" s="252">
        <f>+'Mbr Srvs'!C27</f>
        <v>0</v>
      </c>
      <c r="I23" s="251">
        <f>+Membership!C36</f>
        <v>13200</v>
      </c>
      <c r="J23" s="253">
        <f>+'New Dts'!C24</f>
        <v>50</v>
      </c>
      <c r="K23" s="253">
        <f>DEI!C21</f>
        <v>0</v>
      </c>
      <c r="L23" s="251">
        <f>+Access!C23</f>
        <v>50</v>
      </c>
      <c r="M23" s="251">
        <f>+'Dtl Bene'!C26</f>
        <v>0</v>
      </c>
      <c r="N23" s="251">
        <f>+'Communications (2)'!C14</f>
        <v>400</v>
      </c>
      <c r="O23" s="251">
        <f>+HOD!C29</f>
        <v>0</v>
      </c>
      <c r="P23" s="251">
        <f>+Board3!C18</f>
        <v>100</v>
      </c>
      <c r="Q23" s="251">
        <v>0</v>
      </c>
      <c r="R23" s="251">
        <f>+Headquarters!C43</f>
        <v>750</v>
      </c>
      <c r="S23" s="255">
        <f>SUM(B23:R23)</f>
        <v>18050</v>
      </c>
      <c r="T23" s="386">
        <v>28900</v>
      </c>
      <c r="V23" s="402">
        <v>34250</v>
      </c>
      <c r="W23" s="402">
        <v>21386.78</v>
      </c>
      <c r="X23" s="122">
        <f>W23-V23</f>
        <v>-12863.220000000001</v>
      </c>
      <c r="Y23" s="97">
        <f>(X23/V23)</f>
        <v>-0.37556846715328468</v>
      </c>
    </row>
    <row r="24" spans="1:25" x14ac:dyDescent="0.2">
      <c r="B24" s="251"/>
      <c r="C24" s="251"/>
      <c r="D24" s="251"/>
      <c r="E24" s="251"/>
      <c r="F24" s="251"/>
      <c r="G24" s="251"/>
      <c r="H24" s="252"/>
      <c r="I24" s="251"/>
      <c r="J24" s="253"/>
      <c r="K24" s="253"/>
      <c r="L24" s="251"/>
      <c r="M24" s="251"/>
      <c r="N24" s="251"/>
      <c r="O24" s="251"/>
      <c r="P24" s="251"/>
      <c r="Q24" s="251"/>
      <c r="R24" s="251"/>
      <c r="S24" s="255"/>
      <c r="T24" s="386"/>
      <c r="V24" s="402"/>
      <c r="W24" s="402"/>
      <c r="X24" s="402"/>
      <c r="Y24" s="402"/>
    </row>
    <row r="25" spans="1:25" x14ac:dyDescent="0.2">
      <c r="A25" s="239" t="s">
        <v>265</v>
      </c>
      <c r="B25" s="251">
        <f>+'Ann Sess'!C41</f>
        <v>1350</v>
      </c>
      <c r="C25" s="251">
        <f>+'ADA Ann Sess'!C49</f>
        <v>0</v>
      </c>
      <c r="D25" s="251">
        <f>+'Dtl Ed'!C38</f>
        <v>1500</v>
      </c>
      <c r="E25" s="251">
        <f>'Captl Conf'!C31</f>
        <v>200</v>
      </c>
      <c r="F25" s="251">
        <v>0</v>
      </c>
      <c r="G25" s="251">
        <f>+'Government Affairs(2)'!C20</f>
        <v>50</v>
      </c>
      <c r="H25" s="252">
        <f>+'Mbr Srvs'!C30</f>
        <v>0</v>
      </c>
      <c r="I25" s="251">
        <f>+Membership!C40</f>
        <v>7000</v>
      </c>
      <c r="J25" s="253">
        <f>+'New Dts'!C27</f>
        <v>50</v>
      </c>
      <c r="K25" s="253">
        <v>0</v>
      </c>
      <c r="L25" s="251">
        <f>+Access!C26</f>
        <v>50</v>
      </c>
      <c r="M25" s="251">
        <v>0</v>
      </c>
      <c r="N25" s="251">
        <f>+'Communications (2)'!C19</f>
        <v>1500</v>
      </c>
      <c r="O25" s="251">
        <f>+HOD!C32</f>
        <v>100</v>
      </c>
      <c r="P25" s="251">
        <f>+Board3!C20</f>
        <v>150</v>
      </c>
      <c r="Q25" s="251">
        <v>0</v>
      </c>
      <c r="R25" s="251">
        <f>+Headquarters!C46</f>
        <v>1800</v>
      </c>
      <c r="S25" s="255">
        <f>SUM(B25:R25)</f>
        <v>13750</v>
      </c>
      <c r="T25" s="386">
        <v>31850</v>
      </c>
      <c r="V25" s="402">
        <v>67200</v>
      </c>
      <c r="W25" s="402">
        <v>31427.31</v>
      </c>
      <c r="X25" s="122">
        <f>W25-V25</f>
        <v>-35772.69</v>
      </c>
      <c r="Y25" s="97">
        <f>(X25/V25)</f>
        <v>-0.53233169642857148</v>
      </c>
    </row>
    <row r="26" spans="1:25" x14ac:dyDescent="0.2">
      <c r="B26" s="251"/>
      <c r="C26" s="251"/>
      <c r="D26" s="251"/>
      <c r="E26" s="251"/>
      <c r="F26" s="251"/>
      <c r="G26" s="251"/>
      <c r="H26" s="252"/>
      <c r="I26" s="251"/>
      <c r="J26" s="253"/>
      <c r="K26" s="253"/>
      <c r="L26" s="251"/>
      <c r="M26" s="251"/>
      <c r="N26" s="251"/>
      <c r="O26" s="251"/>
      <c r="P26" s="251"/>
      <c r="Q26" s="251"/>
      <c r="R26" s="251"/>
      <c r="S26" s="255"/>
      <c r="T26" s="386"/>
      <c r="V26" s="402"/>
      <c r="W26" s="402"/>
      <c r="X26" s="402"/>
      <c r="Y26" s="402"/>
    </row>
    <row r="27" spans="1:25" x14ac:dyDescent="0.2">
      <c r="A27" s="239" t="s">
        <v>266</v>
      </c>
      <c r="B27" s="251">
        <f>+'Ann Sess'!C46</f>
        <v>4500</v>
      </c>
      <c r="C27" s="251">
        <f>+'ADA Ann Sess'!C51</f>
        <v>500</v>
      </c>
      <c r="D27" s="251">
        <f>+'Dtl Ed'!C42</f>
        <v>7500</v>
      </c>
      <c r="E27" s="251">
        <f>+'Captl Conf'!C34</f>
        <v>2500</v>
      </c>
      <c r="F27" s="251">
        <f>'Policy and Structure'!C27</f>
        <v>0</v>
      </c>
      <c r="G27" s="251">
        <f>+'Government Affairs(2)'!C26</f>
        <v>2350</v>
      </c>
      <c r="H27" s="252">
        <f>+'Mbr Srvs'!C35</f>
        <v>100</v>
      </c>
      <c r="I27" s="251">
        <f>+Membership!C42</f>
        <v>100</v>
      </c>
      <c r="J27" s="253">
        <f>+'New Dts'!C30</f>
        <v>200</v>
      </c>
      <c r="K27" s="253">
        <f>DEI!C24</f>
        <v>100</v>
      </c>
      <c r="L27" s="251">
        <f>+Access!C29</f>
        <v>100</v>
      </c>
      <c r="M27" s="251">
        <f>+'Dtl Bene'!C29</f>
        <v>0</v>
      </c>
      <c r="N27" s="251">
        <f>+'Communications (2)'!C22</f>
        <v>150</v>
      </c>
      <c r="O27" s="251">
        <f>+HOD!C36</f>
        <v>100</v>
      </c>
      <c r="P27" s="251">
        <f>+Board3!C26</f>
        <v>1000</v>
      </c>
      <c r="Q27" s="251">
        <v>0</v>
      </c>
      <c r="R27" s="251">
        <f>+'Headquarters (2)'!C18</f>
        <v>18200</v>
      </c>
      <c r="S27" s="255">
        <f>SUM(B27:R27)</f>
        <v>37400</v>
      </c>
      <c r="T27" s="386">
        <v>37910</v>
      </c>
      <c r="V27" s="402">
        <v>124460</v>
      </c>
      <c r="W27" s="402">
        <v>142039.79999999999</v>
      </c>
      <c r="X27" s="122">
        <f>W27-V27</f>
        <v>17579.799999999988</v>
      </c>
      <c r="Y27" s="97">
        <f>(X27/V27)</f>
        <v>0.1412485939257592</v>
      </c>
    </row>
    <row r="28" spans="1:25" x14ac:dyDescent="0.2">
      <c r="B28" s="251"/>
      <c r="C28" s="251"/>
      <c r="D28" s="251"/>
      <c r="E28" s="251"/>
      <c r="F28" s="251"/>
      <c r="G28" s="251"/>
      <c r="H28" s="252"/>
      <c r="I28" s="251"/>
      <c r="J28" s="253"/>
      <c r="K28" s="253"/>
      <c r="L28" s="251"/>
      <c r="M28" s="251"/>
      <c r="N28" s="251"/>
      <c r="O28" s="251"/>
      <c r="P28" s="251"/>
      <c r="Q28" s="251"/>
      <c r="R28" s="251"/>
      <c r="S28" s="255"/>
      <c r="T28" s="386"/>
      <c r="V28" s="402"/>
      <c r="W28" s="402"/>
      <c r="X28" s="402"/>
      <c r="Y28" s="402"/>
    </row>
    <row r="29" spans="1:25" x14ac:dyDescent="0.2">
      <c r="A29" s="281" t="s">
        <v>429</v>
      </c>
      <c r="B29" s="251"/>
      <c r="C29" s="251"/>
      <c r="D29" s="251">
        <f>'Dtl Ed'!C45</f>
        <v>9000</v>
      </c>
      <c r="E29" s="251"/>
      <c r="F29" s="251"/>
      <c r="G29" s="251"/>
      <c r="H29" s="252"/>
      <c r="I29" s="251">
        <f>Membership!C46</f>
        <v>49000</v>
      </c>
      <c r="J29" s="253"/>
      <c r="K29" s="253"/>
      <c r="L29" s="251"/>
      <c r="M29" s="251"/>
      <c r="N29" s="251">
        <f>'Communications (2)'!C25</f>
        <v>1500</v>
      </c>
      <c r="O29" s="251"/>
      <c r="P29" s="251"/>
      <c r="Q29" s="251"/>
      <c r="R29" s="251"/>
      <c r="S29" s="255">
        <f>SUM(B29:R29)</f>
        <v>59500</v>
      </c>
      <c r="T29" s="386">
        <v>59000</v>
      </c>
      <c r="V29" s="402">
        <v>0</v>
      </c>
      <c r="W29" s="402">
        <v>0</v>
      </c>
      <c r="X29" s="122">
        <f>W29-V29</f>
        <v>0</v>
      </c>
      <c r="Y29" s="97" t="e">
        <f>(X29/V29)</f>
        <v>#DIV/0!</v>
      </c>
    </row>
    <row r="30" spans="1:25" x14ac:dyDescent="0.2">
      <c r="B30" s="251"/>
      <c r="C30" s="251"/>
      <c r="D30" s="251"/>
      <c r="E30" s="251"/>
      <c r="F30" s="251"/>
      <c r="G30" s="251"/>
      <c r="H30" s="252"/>
      <c r="I30" s="251"/>
      <c r="J30" s="253"/>
      <c r="K30" s="253"/>
      <c r="L30" s="251"/>
      <c r="M30" s="251"/>
      <c r="N30" s="251"/>
      <c r="O30" s="251"/>
      <c r="P30" s="251"/>
      <c r="Q30" s="251"/>
      <c r="R30" s="251"/>
      <c r="S30" s="255"/>
      <c r="T30" s="386"/>
      <c r="V30" s="402"/>
      <c r="W30" s="402"/>
      <c r="X30" s="402"/>
      <c r="Y30" s="402"/>
    </row>
    <row r="31" spans="1:25" x14ac:dyDescent="0.2">
      <c r="A31" s="239" t="s">
        <v>267</v>
      </c>
      <c r="B31" s="251">
        <v>0</v>
      </c>
      <c r="C31" s="251">
        <v>0</v>
      </c>
      <c r="D31" s="251">
        <v>0</v>
      </c>
      <c r="E31" s="251">
        <v>0</v>
      </c>
      <c r="F31" s="251">
        <v>0</v>
      </c>
      <c r="G31" s="251">
        <v>0</v>
      </c>
      <c r="H31" s="252">
        <v>0</v>
      </c>
      <c r="I31" s="251">
        <v>0</v>
      </c>
      <c r="J31" s="253">
        <v>0</v>
      </c>
      <c r="K31" s="253">
        <v>0</v>
      </c>
      <c r="L31" s="251">
        <v>0</v>
      </c>
      <c r="M31" s="251">
        <v>0</v>
      </c>
      <c r="N31" s="251">
        <v>0</v>
      </c>
      <c r="O31" s="251">
        <v>0</v>
      </c>
      <c r="P31" s="251">
        <f>+Board3!C33</f>
        <v>29200</v>
      </c>
      <c r="Q31" s="251">
        <v>0</v>
      </c>
      <c r="R31" s="251">
        <v>0</v>
      </c>
      <c r="S31" s="255">
        <f>SUM(B31:R31)</f>
        <v>29200</v>
      </c>
      <c r="T31" s="386">
        <v>27900</v>
      </c>
      <c r="V31" s="402">
        <v>26050</v>
      </c>
      <c r="W31" s="402">
        <v>27069.02</v>
      </c>
      <c r="X31" s="122">
        <f>W31-V31</f>
        <v>1019.0200000000004</v>
      </c>
      <c r="Y31" s="97">
        <f>(X31/V31)</f>
        <v>3.9117850287907888E-2</v>
      </c>
    </row>
    <row r="32" spans="1:25" x14ac:dyDescent="0.2">
      <c r="B32" s="251"/>
      <c r="C32" s="251"/>
      <c r="D32" s="251"/>
      <c r="E32" s="251"/>
      <c r="F32" s="251"/>
      <c r="G32" s="251"/>
      <c r="H32" s="252"/>
      <c r="I32" s="251"/>
      <c r="J32" s="253"/>
      <c r="K32" s="253"/>
      <c r="L32" s="251"/>
      <c r="M32" s="251"/>
      <c r="N32" s="251"/>
      <c r="O32" s="251"/>
      <c r="P32" s="251"/>
      <c r="Q32" s="251"/>
      <c r="R32" s="251"/>
      <c r="S32" s="255"/>
      <c r="T32" s="386"/>
      <c r="V32" s="402"/>
      <c r="W32" s="402"/>
      <c r="X32" s="402"/>
      <c r="Y32" s="402"/>
    </row>
    <row r="33" spans="1:26" x14ac:dyDescent="0.2">
      <c r="A33" s="250" t="s">
        <v>268</v>
      </c>
      <c r="B33" s="255">
        <f>'Ann Sess'!C49</f>
        <v>500</v>
      </c>
      <c r="C33" s="251">
        <v>0</v>
      </c>
      <c r="D33" s="255">
        <v>0</v>
      </c>
      <c r="E33" s="255">
        <v>0</v>
      </c>
      <c r="F33" s="255">
        <f>'Policy and Structure'!C30</f>
        <v>0</v>
      </c>
      <c r="G33" s="251">
        <f>+'Government Affairs(2)'!C30</f>
        <v>1500</v>
      </c>
      <c r="H33" s="256">
        <v>0</v>
      </c>
      <c r="I33" s="255">
        <f>+Membership!C48</f>
        <v>0</v>
      </c>
      <c r="J33" s="257">
        <f>+'New Dts'!C33</f>
        <v>0</v>
      </c>
      <c r="K33" s="257">
        <f>DEI!C27</f>
        <v>100</v>
      </c>
      <c r="L33" s="251">
        <v>0</v>
      </c>
      <c r="M33" s="251">
        <f>'Dtl Bene'!C32</f>
        <v>0</v>
      </c>
      <c r="N33" s="253">
        <f>+'Communications (2)'!C28</f>
        <v>500</v>
      </c>
      <c r="O33" s="255">
        <f>+HOD!C38</f>
        <v>500</v>
      </c>
      <c r="P33" s="251">
        <f>+Board3!C36</f>
        <v>1500</v>
      </c>
      <c r="Q33" s="255">
        <v>0</v>
      </c>
      <c r="R33" s="251">
        <f>+'Headquarters (2)'!C22</f>
        <v>3000</v>
      </c>
      <c r="S33" s="255">
        <f>SUM(B33:R33)</f>
        <v>7600</v>
      </c>
      <c r="T33" s="385">
        <v>8600</v>
      </c>
      <c r="V33" s="402">
        <v>24100</v>
      </c>
      <c r="W33" s="402">
        <v>17814.810000000001</v>
      </c>
      <c r="X33" s="122">
        <f>W33-V33</f>
        <v>-6285.1899999999987</v>
      </c>
      <c r="Y33" s="97">
        <f>(X33/V33)</f>
        <v>-0.26079626556016594</v>
      </c>
    </row>
    <row r="34" spans="1:26" x14ac:dyDescent="0.2">
      <c r="B34" s="251"/>
      <c r="C34" s="251"/>
      <c r="D34" s="251"/>
      <c r="E34" s="251"/>
      <c r="F34" s="251"/>
      <c r="G34" s="251"/>
      <c r="H34" s="252"/>
      <c r="I34" s="251"/>
      <c r="J34" s="253"/>
      <c r="K34" s="253"/>
      <c r="L34" s="251"/>
      <c r="M34" s="251"/>
      <c r="N34" s="251"/>
      <c r="O34" s="251"/>
      <c r="P34" s="251"/>
      <c r="Q34" s="251"/>
      <c r="R34" s="251"/>
      <c r="S34" s="251"/>
      <c r="T34" s="249"/>
      <c r="V34" s="402"/>
      <c r="W34" s="402"/>
      <c r="X34" s="402"/>
      <c r="Y34" s="402"/>
    </row>
    <row r="35" spans="1:26" ht="15" x14ac:dyDescent="0.25">
      <c r="A35" s="258" t="s">
        <v>269</v>
      </c>
      <c r="B35" s="259">
        <f>SUM(B7:B34)</f>
        <v>97910</v>
      </c>
      <c r="C35" s="259">
        <f t="shared" ref="C35:R35" si="0">SUM(C7:C34)</f>
        <v>133756</v>
      </c>
      <c r="D35" s="259">
        <f t="shared" si="0"/>
        <v>150570</v>
      </c>
      <c r="E35" s="259">
        <f t="shared" si="0"/>
        <v>67590</v>
      </c>
      <c r="F35" s="259">
        <f t="shared" si="0"/>
        <v>4000</v>
      </c>
      <c r="G35" s="259">
        <f>SUM(G7:G34)</f>
        <v>113885</v>
      </c>
      <c r="H35" s="259">
        <f t="shared" si="0"/>
        <v>8695</v>
      </c>
      <c r="I35" s="259">
        <f t="shared" si="0"/>
        <v>111320</v>
      </c>
      <c r="J35" s="259">
        <f t="shared" si="0"/>
        <v>7240</v>
      </c>
      <c r="K35" s="259">
        <f t="shared" si="0"/>
        <v>5870</v>
      </c>
      <c r="L35" s="259">
        <f t="shared" si="0"/>
        <v>17120</v>
      </c>
      <c r="M35" s="259">
        <f t="shared" si="0"/>
        <v>4870</v>
      </c>
      <c r="N35" s="259">
        <f>SUM(N7:N34)</f>
        <v>103870</v>
      </c>
      <c r="O35" s="259">
        <f t="shared" si="0"/>
        <v>63600</v>
      </c>
      <c r="P35" s="259">
        <f t="shared" si="0"/>
        <v>266331</v>
      </c>
      <c r="Q35" s="259">
        <f t="shared" si="0"/>
        <v>23200</v>
      </c>
      <c r="R35" s="259">
        <f t="shared" si="0"/>
        <v>62575</v>
      </c>
      <c r="S35" s="259">
        <f>SUM(S7:S34)</f>
        <v>1242402</v>
      </c>
      <c r="T35" s="249">
        <f>'ADA Ann Sess'!C54+'Ann Sess'!C51+HOD!C40+'Policy and Structure'!C34+'Dtl Ed'!C48+'Captl Conf'!C36+'Government Affairs(2)'!C33+Access!C33+'Mbr Srvs'!C37+Membership!C50+'New Dts'!C37+DEI!C31+'Allied Dental Personnel'!C23+'Dtl Bene'!C36+'Peer Review'!C33+'Communications (2)'!C31+Board3!C41+'Headquarters (2)'!C26+Midwinter!C29</f>
        <v>1242402</v>
      </c>
      <c r="U35" s="239">
        <f>S35-T35</f>
        <v>0</v>
      </c>
      <c r="V35" s="402">
        <v>1262631</v>
      </c>
      <c r="W35" s="402">
        <f>SUM(W7:W33)</f>
        <v>1031526.1800000002</v>
      </c>
      <c r="X35" s="404">
        <f>W35-V35</f>
        <v>-231104.81999999983</v>
      </c>
      <c r="Y35" s="405">
        <f>(X35/V35)</f>
        <v>-0.18303433069519109</v>
      </c>
    </row>
    <row r="36" spans="1:26" ht="15" x14ac:dyDescent="0.25">
      <c r="A36" s="262" t="s">
        <v>488</v>
      </c>
      <c r="B36" s="259">
        <f>'Ann Sess'!B51</f>
        <v>105910</v>
      </c>
      <c r="C36" s="259">
        <f>'ADA Ann Sess'!B54</f>
        <v>144030</v>
      </c>
      <c r="D36" s="259">
        <f>'Dtl Ed'!B48</f>
        <v>142395</v>
      </c>
      <c r="E36" s="259">
        <f>'Captl Conf'!B36</f>
        <v>42785</v>
      </c>
      <c r="F36" s="259">
        <f>'Policy and Structure'!B34</f>
        <v>4000</v>
      </c>
      <c r="G36" s="259">
        <f>'Government Affairs(2)'!B33</f>
        <v>110340</v>
      </c>
      <c r="H36" s="260">
        <f>'Mbr Srvs'!B37</f>
        <v>8715</v>
      </c>
      <c r="I36" s="259">
        <f>Membership!B50</f>
        <v>120470</v>
      </c>
      <c r="J36" s="261">
        <f>'New Dts'!B37</f>
        <v>32990</v>
      </c>
      <c r="K36" s="261">
        <f>DEI!B31</f>
        <v>5270</v>
      </c>
      <c r="L36" s="259">
        <f>Access!B33</f>
        <v>17120</v>
      </c>
      <c r="M36" s="259">
        <f>'Dtl Bene'!B36</f>
        <v>4870</v>
      </c>
      <c r="N36" s="259">
        <f>'Communications (2)'!B31</f>
        <v>136710</v>
      </c>
      <c r="O36" s="259">
        <f>HOD!B40</f>
        <v>73550</v>
      </c>
      <c r="P36" s="259">
        <f>Board3!B41</f>
        <v>217986</v>
      </c>
      <c r="Q36" s="259">
        <f>Midwinter!B29</f>
        <v>22675</v>
      </c>
      <c r="R36" s="259">
        <f>'Headquarters (2)'!B26</f>
        <v>57105</v>
      </c>
      <c r="S36" s="259">
        <f>SUM(B36:R36)</f>
        <v>1246921</v>
      </c>
    </row>
    <row r="37" spans="1:26" ht="15" x14ac:dyDescent="0.25">
      <c r="A37" s="262" t="s">
        <v>379</v>
      </c>
      <c r="B37" s="255">
        <f>B35-B36</f>
        <v>-8000</v>
      </c>
      <c r="C37" s="255">
        <f t="shared" ref="C37:R37" si="1">C35-C36</f>
        <v>-10274</v>
      </c>
      <c r="D37" s="255">
        <f t="shared" si="1"/>
        <v>8175</v>
      </c>
      <c r="E37" s="255">
        <f t="shared" si="1"/>
        <v>24805</v>
      </c>
      <c r="F37" s="255">
        <f t="shared" si="1"/>
        <v>0</v>
      </c>
      <c r="G37" s="255">
        <f t="shared" si="1"/>
        <v>3545</v>
      </c>
      <c r="H37" s="255">
        <f t="shared" si="1"/>
        <v>-20</v>
      </c>
      <c r="I37" s="255">
        <f t="shared" si="1"/>
        <v>-9150</v>
      </c>
      <c r="J37" s="255">
        <f t="shared" si="1"/>
        <v>-25750</v>
      </c>
      <c r="K37" s="255">
        <f t="shared" si="1"/>
        <v>600</v>
      </c>
      <c r="L37" s="255">
        <f t="shared" si="1"/>
        <v>0</v>
      </c>
      <c r="M37" s="255">
        <f t="shared" si="1"/>
        <v>0</v>
      </c>
      <c r="N37" s="255">
        <f>N35-N36</f>
        <v>-32840</v>
      </c>
      <c r="O37" s="255">
        <f t="shared" si="1"/>
        <v>-9950</v>
      </c>
      <c r="P37" s="255">
        <f t="shared" si="1"/>
        <v>48345</v>
      </c>
      <c r="Q37" s="255">
        <f t="shared" si="1"/>
        <v>525</v>
      </c>
      <c r="R37" s="255">
        <f t="shared" si="1"/>
        <v>5470</v>
      </c>
      <c r="S37" s="255">
        <f>S35-S36</f>
        <v>-4519</v>
      </c>
    </row>
    <row r="38" spans="1:26" ht="15" x14ac:dyDescent="0.25">
      <c r="A38" s="258" t="s">
        <v>270</v>
      </c>
      <c r="B38" s="255"/>
      <c r="C38" s="255"/>
      <c r="D38" s="255"/>
      <c r="E38" s="255"/>
      <c r="F38" s="255"/>
      <c r="G38" s="255"/>
      <c r="H38" s="256"/>
      <c r="I38" s="255"/>
      <c r="J38" s="257"/>
      <c r="K38" s="257"/>
      <c r="L38" s="255"/>
      <c r="M38" s="255"/>
      <c r="N38" s="255"/>
      <c r="O38" s="255"/>
      <c r="P38" s="255"/>
      <c r="Q38" s="255"/>
      <c r="R38" s="255"/>
      <c r="S38" s="253"/>
    </row>
    <row r="39" spans="1:26" x14ac:dyDescent="0.2">
      <c r="A39" s="263"/>
      <c r="B39" s="312"/>
      <c r="C39" s="312"/>
      <c r="D39" s="312"/>
      <c r="E39" s="312"/>
      <c r="F39" s="312"/>
      <c r="G39" s="312"/>
      <c r="H39" s="313"/>
      <c r="I39" s="312"/>
      <c r="J39" s="314"/>
      <c r="K39" s="314"/>
      <c r="L39" s="312"/>
      <c r="M39" s="312"/>
      <c r="N39" s="312"/>
      <c r="O39" s="312"/>
      <c r="P39" s="312"/>
      <c r="Q39" s="312"/>
      <c r="R39" s="312"/>
      <c r="S39" s="253"/>
    </row>
    <row r="40" spans="1:26" x14ac:dyDescent="0.2">
      <c r="A40" s="239" t="s">
        <v>271</v>
      </c>
      <c r="B40" s="251">
        <f>+S40*$B$74</f>
        <v>51469.613259943391</v>
      </c>
      <c r="C40" s="251">
        <f>+S40*$C$74</f>
        <v>27339.122853329212</v>
      </c>
      <c r="D40" s="251">
        <f>+S40*$D$74</f>
        <v>35084.332385932918</v>
      </c>
      <c r="E40" s="251">
        <f>+S40*$E$74</f>
        <v>29665.24623474223</v>
      </c>
      <c r="F40" s="251">
        <f>+S40*$F$74</f>
        <v>12414.9190987238</v>
      </c>
      <c r="G40" s="251">
        <f>+S40*$G$74</f>
        <v>205360.56317014439</v>
      </c>
      <c r="H40" s="252">
        <f>+S40*$H$74</f>
        <v>40885.379717911645</v>
      </c>
      <c r="I40" s="251">
        <f>S40*$I$74</f>
        <v>131687.15249389308</v>
      </c>
      <c r="J40" s="253">
        <f>+S40*$J$74</f>
        <v>35676.994978949166</v>
      </c>
      <c r="K40" s="253">
        <f>+S40*$K$74</f>
        <v>15252.604040002607</v>
      </c>
      <c r="L40" s="251">
        <f>+S40*$L$74</f>
        <v>38197.568812242025</v>
      </c>
      <c r="M40" s="251">
        <f>+S40*$M$74</f>
        <v>17079.178117455875</v>
      </c>
      <c r="N40" s="251">
        <f>+S40*$N$74</f>
        <v>114734.91584029036</v>
      </c>
      <c r="O40" s="251">
        <f>+S40*$O$74</f>
        <v>26471.381979816579</v>
      </c>
      <c r="P40" s="251">
        <f>+S40*$P$74</f>
        <v>123018.94150027848</v>
      </c>
      <c r="Q40" s="251">
        <f>+S40*$Q$74</f>
        <v>29670.789226342884</v>
      </c>
      <c r="R40" s="251">
        <f>+S40*$R$74</f>
        <v>178274.29629000108</v>
      </c>
      <c r="S40" s="253">
        <f>+'ind costs(1)'!C10</f>
        <v>1112283</v>
      </c>
      <c r="V40" s="402">
        <v>1038352</v>
      </c>
      <c r="W40" s="402">
        <v>945580.34863686073</v>
      </c>
      <c r="X40" s="404">
        <f>W40-V40</f>
        <v>-92771.651363139274</v>
      </c>
      <c r="Y40" s="405">
        <f>(X40/V40)</f>
        <v>-8.9345088527916616E-2</v>
      </c>
      <c r="Z40" s="374"/>
    </row>
    <row r="41" spans="1:26" x14ac:dyDescent="0.2">
      <c r="B41" s="251"/>
      <c r="C41" s="251"/>
      <c r="D41" s="251"/>
      <c r="E41" s="251"/>
      <c r="F41" s="251"/>
      <c r="G41" s="251"/>
      <c r="H41" s="252"/>
      <c r="I41" s="251"/>
      <c r="J41" s="253"/>
      <c r="K41" s="253"/>
      <c r="L41" s="251"/>
      <c r="M41" s="251"/>
      <c r="N41" s="251"/>
      <c r="O41" s="251"/>
      <c r="P41" s="251"/>
      <c r="Q41" s="251"/>
      <c r="R41" s="251"/>
      <c r="S41" s="253"/>
      <c r="V41" s="402"/>
      <c r="W41" s="402"/>
      <c r="X41" s="402"/>
      <c r="Y41" s="402"/>
      <c r="Z41" s="374"/>
    </row>
    <row r="42" spans="1:26" x14ac:dyDescent="0.2">
      <c r="A42" s="239" t="s">
        <v>272</v>
      </c>
      <c r="B42" s="251">
        <f>+S42*$B$74</f>
        <v>4053.6954189550129</v>
      </c>
      <c r="C42" s="251">
        <f>+S42*$C$74</f>
        <v>2153.2020555328108</v>
      </c>
      <c r="D42" s="251">
        <f>+S42*$D$74</f>
        <v>2763.2070354147381</v>
      </c>
      <c r="E42" s="251">
        <f>+S42*$E$74</f>
        <v>2336.4052136279702</v>
      </c>
      <c r="F42" s="251">
        <f>+S42*$F$74</f>
        <v>977.78664904716868</v>
      </c>
      <c r="G42" s="251">
        <f>+S42*$G$74</f>
        <v>16173.993186086582</v>
      </c>
      <c r="H42" s="252">
        <f>+S42*$H$74</f>
        <v>3220.0917389391111</v>
      </c>
      <c r="I42" s="251">
        <f>S42*$I$74</f>
        <v>10371.548822481123</v>
      </c>
      <c r="J42" s="253">
        <f>+S42*$J$74</f>
        <v>2809.8845502847735</v>
      </c>
      <c r="K42" s="253">
        <f>+S42*$K$74</f>
        <v>1201.279885508922</v>
      </c>
      <c r="L42" s="251">
        <f>+S42*$L$74</f>
        <v>3008.4024320794888</v>
      </c>
      <c r="M42" s="251">
        <f>+S42*$M$74</f>
        <v>1345.1390385349814</v>
      </c>
      <c r="N42" s="251">
        <f>+S42*$N$74</f>
        <v>9036.407567063301</v>
      </c>
      <c r="O42" s="251">
        <f>+S42*$O$74</f>
        <v>2084.8596495770284</v>
      </c>
      <c r="P42" s="251">
        <f>+S42*$P$74</f>
        <v>9688.8491678735063</v>
      </c>
      <c r="Q42" s="251">
        <f>+S42*$Q$74</f>
        <v>2336.841774119408</v>
      </c>
      <c r="R42" s="251">
        <f>+S42*$R$74</f>
        <v>14040.705814874058</v>
      </c>
      <c r="S42" s="253">
        <f>+'ind costs(1)'!C16</f>
        <v>87602.3</v>
      </c>
      <c r="V42" s="402">
        <v>85062.3</v>
      </c>
      <c r="W42" s="402">
        <v>65427.889551083805</v>
      </c>
      <c r="X42" s="122">
        <f>W42-V42</f>
        <v>-19634.410448916198</v>
      </c>
      <c r="Y42" s="97">
        <f>(X42/V42)</f>
        <v>-0.23082388377596419</v>
      </c>
      <c r="Z42" s="374"/>
    </row>
    <row r="43" spans="1:26" x14ac:dyDescent="0.2">
      <c r="B43" s="251"/>
      <c r="C43" s="251"/>
      <c r="D43" s="251"/>
      <c r="E43" s="251"/>
      <c r="F43" s="251"/>
      <c r="G43" s="251"/>
      <c r="H43" s="252"/>
      <c r="I43" s="251"/>
      <c r="J43" s="253"/>
      <c r="K43" s="253"/>
      <c r="L43" s="251"/>
      <c r="M43" s="251"/>
      <c r="N43" s="251"/>
      <c r="O43" s="251"/>
      <c r="P43" s="251"/>
      <c r="Q43" s="251"/>
      <c r="R43" s="251"/>
      <c r="S43" s="253"/>
      <c r="V43" s="402"/>
      <c r="W43" s="402"/>
      <c r="X43" s="402"/>
      <c r="Y43" s="402"/>
    </row>
    <row r="44" spans="1:26" x14ac:dyDescent="0.2">
      <c r="A44" s="281" t="s">
        <v>330</v>
      </c>
      <c r="B44" s="251">
        <f>+S44*$B$74</f>
        <v>4823.0443976410297</v>
      </c>
      <c r="C44" s="251">
        <f>+S44*$C$74</f>
        <v>2561.8572777734203</v>
      </c>
      <c r="D44" s="251">
        <f>+S44*$D$74</f>
        <v>3287.6348206533153</v>
      </c>
      <c r="E44" s="251">
        <f>+S44*$E$74</f>
        <v>2779.8304785100408</v>
      </c>
      <c r="F44" s="251">
        <f>+S44*$F$74</f>
        <v>1163.3603249330556</v>
      </c>
      <c r="G44" s="251">
        <f>+S44*$G$74</f>
        <v>19243.647872229245</v>
      </c>
      <c r="H44" s="252">
        <f>+S44*$H$74</f>
        <v>3831.231460745521</v>
      </c>
      <c r="I44" s="251">
        <f>S44*$I$74</f>
        <v>12339.960276547637</v>
      </c>
      <c r="J44" s="253">
        <f>+S44*$J$74</f>
        <v>3343.1712394816855</v>
      </c>
      <c r="K44" s="253">
        <f>+S44*$K$74</f>
        <v>1429.2702393748746</v>
      </c>
      <c r="L44" s="251">
        <f>+S44*$L$74</f>
        <v>3579.3657382455776</v>
      </c>
      <c r="M44" s="251">
        <f>+S44*$M$74</f>
        <v>1600.432354517354</v>
      </c>
      <c r="N44" s="251">
        <f>+S44*$N$74</f>
        <v>10751.423179781168</v>
      </c>
      <c r="O44" s="251">
        <f>+S44*$O$74</f>
        <v>2480.5441982003827</v>
      </c>
      <c r="P44" s="251">
        <f>+S44*$P$74</f>
        <v>11527.691370247929</v>
      </c>
      <c r="Q44" s="251">
        <f>+S44*$Q$74</f>
        <v>2780.3498936152346</v>
      </c>
      <c r="R44" s="251">
        <f>+S44*$R$74</f>
        <v>16705.484877502506</v>
      </c>
      <c r="S44" s="253">
        <f>+'ind costs(1)'!C22</f>
        <v>104228.3</v>
      </c>
      <c r="T44" s="281"/>
      <c r="V44" s="402">
        <v>94750</v>
      </c>
      <c r="W44" s="402">
        <v>78471.091812055485</v>
      </c>
      <c r="X44" s="122">
        <f>W44-V44</f>
        <v>-16278.908187944515</v>
      </c>
      <c r="Y44" s="97">
        <f>(X44/V44)</f>
        <v>-0.17180905739255425</v>
      </c>
    </row>
    <row r="45" spans="1:26" x14ac:dyDescent="0.2">
      <c r="B45" s="251"/>
      <c r="C45" s="251"/>
      <c r="D45" s="251"/>
      <c r="E45" s="251"/>
      <c r="F45" s="251"/>
      <c r="G45" s="251"/>
      <c r="H45" s="252"/>
      <c r="I45" s="251"/>
      <c r="J45" s="253"/>
      <c r="K45" s="253"/>
      <c r="L45" s="251"/>
      <c r="M45" s="251"/>
      <c r="N45" s="251"/>
      <c r="O45" s="251"/>
      <c r="P45" s="251"/>
      <c r="Q45" s="251"/>
      <c r="R45" s="251"/>
      <c r="S45" s="253"/>
      <c r="V45" s="402"/>
      <c r="W45" s="402"/>
      <c r="X45" s="402"/>
      <c r="Y45" s="402"/>
    </row>
    <row r="46" spans="1:26" x14ac:dyDescent="0.2">
      <c r="A46" s="239" t="s">
        <v>273</v>
      </c>
      <c r="B46" s="251">
        <f>+S46*$B$74</f>
        <v>6031.704784929284</v>
      </c>
      <c r="C46" s="251">
        <f>+S46*$C$74</f>
        <v>3203.8616124308664</v>
      </c>
      <c r="D46" s="251">
        <f>+S46*$D$74</f>
        <v>4111.5198293703625</v>
      </c>
      <c r="E46" s="251">
        <f>+S46*$E$74</f>
        <v>3476.4591440879412</v>
      </c>
      <c r="F46" s="251">
        <f>+S46*$F$74</f>
        <v>1454.8997396598013</v>
      </c>
      <c r="G46" s="251">
        <f>+S46*$G$74</f>
        <v>24066.127819016274</v>
      </c>
      <c r="H46" s="252">
        <f>+S46*$H$74</f>
        <v>4791.3424029961243</v>
      </c>
      <c r="I46" s="251">
        <f>S46*$I$74</f>
        <v>15432.368294659318</v>
      </c>
      <c r="J46" s="253">
        <f>+S46*$J$74</f>
        <v>4180.9737376422327</v>
      </c>
      <c r="K46" s="253">
        <f>+S46*$K$74</f>
        <v>1787.4469797563938</v>
      </c>
      <c r="L46" s="251">
        <f>+S46*$L$74</f>
        <v>4476.3588452445902</v>
      </c>
      <c r="M46" s="251">
        <f>+S46*$M$74</f>
        <v>2001.5025147642116</v>
      </c>
      <c r="N46" s="251">
        <f>+S46*$N$74</f>
        <v>13445.742002707622</v>
      </c>
      <c r="O46" s="251">
        <f>+S46*$O$74</f>
        <v>3102.171383044235</v>
      </c>
      <c r="P46" s="251">
        <f>+S46*$P$74</f>
        <v>14416.543880690926</v>
      </c>
      <c r="Q46" s="251">
        <f>+S46*$Q$74</f>
        <v>3477.1087252066418</v>
      </c>
      <c r="R46" s="251">
        <f>+S46*$R$74</f>
        <v>20891.898303793143</v>
      </c>
      <c r="S46" s="253">
        <f>+'ind costs(1)'!C29</f>
        <v>130348.03</v>
      </c>
      <c r="V46" s="402">
        <v>107750</v>
      </c>
      <c r="W46" s="402">
        <v>107971.81</v>
      </c>
      <c r="X46" s="122">
        <f>W46-V46</f>
        <v>221.80999999999767</v>
      </c>
      <c r="Y46" s="97">
        <f>(X46/V46)</f>
        <v>2.0585614849187718E-3</v>
      </c>
    </row>
    <row r="47" spans="1:26" x14ac:dyDescent="0.2">
      <c r="B47" s="251"/>
      <c r="C47" s="251"/>
      <c r="D47" s="251"/>
      <c r="E47" s="251"/>
      <c r="F47" s="251"/>
      <c r="G47" s="251"/>
      <c r="H47" s="252"/>
      <c r="I47" s="251"/>
      <c r="J47" s="253"/>
      <c r="K47" s="253"/>
      <c r="L47" s="251"/>
      <c r="M47" s="251"/>
      <c r="N47" s="251"/>
      <c r="O47" s="251"/>
      <c r="P47" s="251"/>
      <c r="Q47" s="251"/>
      <c r="R47" s="251"/>
      <c r="S47" s="253"/>
      <c r="V47" s="403"/>
      <c r="W47" s="402"/>
      <c r="X47" s="402"/>
      <c r="Y47" s="402"/>
    </row>
    <row r="48" spans="1:26" x14ac:dyDescent="0.2">
      <c r="A48" s="239" t="s">
        <v>274</v>
      </c>
      <c r="B48" s="251">
        <f>+S48*$B$74</f>
        <v>1494.6452551159834</v>
      </c>
      <c r="C48" s="251">
        <f>+S48*$C$74</f>
        <v>793.91096345312621</v>
      </c>
      <c r="D48" s="251">
        <f>+S48*$D$74</f>
        <v>1018.8269856373181</v>
      </c>
      <c r="E48" s="251">
        <f>+S48*$E$74</f>
        <v>861.46012604901273</v>
      </c>
      <c r="F48" s="251">
        <f>+S48*$F$74</f>
        <v>360.52145622002558</v>
      </c>
      <c r="G48" s="251">
        <f>+S48*$G$74</f>
        <v>5963.5418237945414</v>
      </c>
      <c r="H48" s="252">
        <f>+S48*$H$74</f>
        <v>1187.2857581106123</v>
      </c>
      <c r="I48" s="251">
        <f>S48*$I$74</f>
        <v>3824.1122318265643</v>
      </c>
      <c r="J48" s="253">
        <f>+S48*$J$74</f>
        <v>1036.0375352496246</v>
      </c>
      <c r="K48" s="253">
        <f>+S48*$K$74</f>
        <v>442.92604534285266</v>
      </c>
      <c r="L48" s="251">
        <f>+S48*$L$74</f>
        <v>1109.233416887085</v>
      </c>
      <c r="M48" s="251">
        <f>+S48*$M$74</f>
        <v>495.96860978170548</v>
      </c>
      <c r="N48" s="251">
        <f>+S48*$N$74</f>
        <v>3331.8299224580242</v>
      </c>
      <c r="O48" s="251">
        <f>+S48*$O$74</f>
        <v>768.71231327645523</v>
      </c>
      <c r="P48" s="251">
        <f>+S48*$P$74</f>
        <v>3572.3928266987764</v>
      </c>
      <c r="Q48" s="251">
        <f>+S48*$Q$74</f>
        <v>861.62109104506249</v>
      </c>
      <c r="R48" s="251">
        <f>+S48*$R$74</f>
        <v>5176.9736390532216</v>
      </c>
      <c r="S48" s="253">
        <f>+'ind costs(1)'!C39</f>
        <v>32300</v>
      </c>
      <c r="V48" s="402">
        <v>33820</v>
      </c>
      <c r="W48" s="402">
        <v>31165.41</v>
      </c>
      <c r="X48" s="122">
        <f>W48-V48</f>
        <v>-2654.59</v>
      </c>
      <c r="Y48" s="97">
        <f>(X48/V48)</f>
        <v>-7.8491720875221771E-2</v>
      </c>
    </row>
    <row r="49" spans="1:53" x14ac:dyDescent="0.2">
      <c r="B49" s="251"/>
      <c r="C49" s="251"/>
      <c r="D49" s="251"/>
      <c r="E49" s="251"/>
      <c r="F49" s="251"/>
      <c r="G49" s="251"/>
      <c r="H49" s="252"/>
      <c r="I49" s="251"/>
      <c r="J49" s="253"/>
      <c r="K49" s="253"/>
      <c r="L49" s="251"/>
      <c r="M49" s="251"/>
      <c r="N49" s="251"/>
      <c r="O49" s="251"/>
      <c r="P49" s="251"/>
      <c r="Q49" s="251"/>
      <c r="R49" s="251"/>
      <c r="S49" s="253"/>
      <c r="V49" s="403"/>
      <c r="W49" s="402"/>
      <c r="X49" s="402"/>
      <c r="Y49" s="402"/>
    </row>
    <row r="50" spans="1:53" x14ac:dyDescent="0.2">
      <c r="A50" s="239" t="s">
        <v>275</v>
      </c>
      <c r="B50" s="251">
        <f>+S50*$B$74</f>
        <v>573.79570165443329</v>
      </c>
      <c r="C50" s="251">
        <f>+S50*$C$74</f>
        <v>304.78315624825899</v>
      </c>
      <c r="D50" s="251">
        <f>+S50*$D$74</f>
        <v>391.12862606510043</v>
      </c>
      <c r="E50" s="251">
        <f>+S50*$E$74</f>
        <v>330.71534250798015</v>
      </c>
      <c r="F50" s="251">
        <f>+S50*$F$74</f>
        <v>138.40452189251755</v>
      </c>
      <c r="G50" s="251">
        <f>+S50*$G$74</f>
        <v>2289.4092450480593</v>
      </c>
      <c r="H50" s="252">
        <f>+S50*$H$74</f>
        <v>455.80010528085421</v>
      </c>
      <c r="I50" s="251">
        <f>S50*$I$74</f>
        <v>1468.0802376052445</v>
      </c>
      <c r="J50" s="253">
        <f>+S50*$J$74</f>
        <v>397.73577204629549</v>
      </c>
      <c r="K50" s="253">
        <f>+S50*$K$74</f>
        <v>170.03972019354097</v>
      </c>
      <c r="L50" s="251">
        <f>+S50*$L$74</f>
        <v>425.83573899070757</v>
      </c>
      <c r="M50" s="251">
        <f>+S50*$M$74</f>
        <v>190.40280994715627</v>
      </c>
      <c r="N50" s="251">
        <f>+S50*$N$74</f>
        <v>1279.0926018105108</v>
      </c>
      <c r="O50" s="251">
        <f>+S50*$O$74</f>
        <v>295.10937104111593</v>
      </c>
      <c r="P50" s="251">
        <f>+S50*$P$74</f>
        <v>1371.4449241815737</v>
      </c>
      <c r="Q50" s="251">
        <f>+S50*$Q$74</f>
        <v>330.77713711946672</v>
      </c>
      <c r="R50" s="251">
        <f>+S50*$R$74</f>
        <v>1987.4449883671812</v>
      </c>
      <c r="S50" s="253">
        <f>+'ind costs(1)'!C44</f>
        <v>12400</v>
      </c>
      <c r="V50" s="402">
        <v>11500</v>
      </c>
      <c r="W50" s="402">
        <v>11179.27</v>
      </c>
      <c r="X50" s="122">
        <f>W50-V50</f>
        <v>-320.72999999999956</v>
      </c>
      <c r="Y50" s="97">
        <f>(X50/V50)</f>
        <v>-2.7889565217391266E-2</v>
      </c>
    </row>
    <row r="51" spans="1:53" x14ac:dyDescent="0.2">
      <c r="B51" s="315"/>
      <c r="C51" s="315"/>
      <c r="D51" s="315"/>
      <c r="E51" s="315"/>
      <c r="F51" s="315"/>
      <c r="G51" s="315"/>
      <c r="H51" s="316"/>
      <c r="I51" s="315"/>
      <c r="J51" s="317"/>
      <c r="K51" s="317"/>
      <c r="L51" s="315"/>
      <c r="M51" s="315"/>
      <c r="N51" s="315"/>
      <c r="O51" s="315"/>
      <c r="P51" s="315"/>
      <c r="Q51" s="315"/>
      <c r="R51" s="315"/>
      <c r="S51" s="253"/>
      <c r="V51" s="403"/>
      <c r="W51" s="403"/>
      <c r="X51" s="402"/>
      <c r="Y51" s="402"/>
    </row>
    <row r="52" spans="1:53" x14ac:dyDescent="0.2">
      <c r="A52" s="239" t="s">
        <v>276</v>
      </c>
      <c r="B52" s="251">
        <f>+S52*$B$74</f>
        <v>2526.5520411558109</v>
      </c>
      <c r="C52" s="251">
        <f>+S52*$C$74</f>
        <v>1342.0290589641081</v>
      </c>
      <c r="D52" s="251">
        <f>+S52*$D$74</f>
        <v>1722.2276599318134</v>
      </c>
      <c r="E52" s="251">
        <f>+S52*$E$74</f>
        <v>1456.2143307206222</v>
      </c>
      <c r="F52" s="251">
        <f>+S52*$F$74</f>
        <v>609.4263625267306</v>
      </c>
      <c r="G52" s="251">
        <f>+S52*$G$74</f>
        <v>10080.78586932452</v>
      </c>
      <c r="H52" s="252">
        <f>+S52*$H$74</f>
        <v>2006.9907861560193</v>
      </c>
      <c r="I52" s="251">
        <f>S52*$I$74</f>
        <v>6464.2887881650286</v>
      </c>
      <c r="J52" s="253">
        <f>+S52*$J$74</f>
        <v>1751.3204156232043</v>
      </c>
      <c r="K52" s="253">
        <f>+S52*$K$74</f>
        <v>748.72328407801103</v>
      </c>
      <c r="L52" s="251">
        <f>+S52*$L$74</f>
        <v>1875.0509152332768</v>
      </c>
      <c r="M52" s="251">
        <f>+S52*$M$74</f>
        <v>838.38656638022042</v>
      </c>
      <c r="N52" s="251">
        <f>+S52*$N$74</f>
        <v>5632.1335531333789</v>
      </c>
      <c r="O52" s="251">
        <f>+S52*$O$74</f>
        <v>1299.4331982939461</v>
      </c>
      <c r="P52" s="251">
        <f>+S52*$P$74</f>
        <v>6038.7816822833802</v>
      </c>
      <c r="Q52" s="251">
        <f>+S52*$Q$74</f>
        <v>1456.4864263486195</v>
      </c>
      <c r="R52" s="251">
        <f>+S52*$R$74</f>
        <v>8751.1690616812975</v>
      </c>
      <c r="S52" s="253">
        <f>+'ind costs(2)'!C14</f>
        <v>54600</v>
      </c>
      <c r="V52" s="402">
        <v>54600</v>
      </c>
      <c r="W52" s="402">
        <v>53179.16</v>
      </c>
      <c r="X52" s="122">
        <f>W52-V52</f>
        <v>-1420.8399999999965</v>
      </c>
      <c r="Y52" s="97">
        <f>(X52/V52)</f>
        <v>-2.6022710622710558E-2</v>
      </c>
      <c r="Z52" s="264"/>
      <c r="AA52" s="264"/>
      <c r="AB52" s="264"/>
      <c r="AC52" s="264"/>
      <c r="AD52" s="264"/>
      <c r="AE52" s="264"/>
      <c r="AF52" s="264"/>
      <c r="AG52" s="264"/>
      <c r="AH52" s="264"/>
      <c r="AI52" s="264"/>
      <c r="AJ52" s="264"/>
      <c r="AK52" s="264"/>
      <c r="AL52" s="264"/>
      <c r="AM52" s="264"/>
      <c r="AN52" s="264"/>
      <c r="AO52" s="264"/>
      <c r="AP52" s="264"/>
      <c r="AQ52" s="264"/>
      <c r="AR52" s="264"/>
      <c r="AS52" s="264"/>
      <c r="AT52" s="264"/>
      <c r="AU52" s="264"/>
      <c r="AV52" s="264"/>
      <c r="AW52" s="264"/>
      <c r="AX52" s="264"/>
      <c r="AY52" s="264"/>
      <c r="AZ52" s="264"/>
      <c r="BA52" s="264"/>
    </row>
    <row r="53" spans="1:53" x14ac:dyDescent="0.2">
      <c r="B53" s="315"/>
      <c r="C53" s="315"/>
      <c r="D53" s="315"/>
      <c r="E53" s="315"/>
      <c r="F53" s="315"/>
      <c r="G53" s="315"/>
      <c r="H53" s="316"/>
      <c r="I53" s="315"/>
      <c r="J53" s="317"/>
      <c r="K53" s="317"/>
      <c r="L53" s="315"/>
      <c r="M53" s="315"/>
      <c r="N53" s="315"/>
      <c r="O53" s="315"/>
      <c r="P53" s="315"/>
      <c r="Q53" s="315"/>
      <c r="R53" s="315"/>
      <c r="S53" s="253"/>
      <c r="V53" s="403"/>
      <c r="W53" s="403"/>
      <c r="X53" s="402"/>
      <c r="Y53" s="402"/>
    </row>
    <row r="54" spans="1:53" x14ac:dyDescent="0.2">
      <c r="A54" s="239" t="s">
        <v>277</v>
      </c>
      <c r="B54" s="251">
        <f>+S54*$B$74</f>
        <v>1924.9920313568084</v>
      </c>
      <c r="C54" s="251">
        <f>+S54*$C$74</f>
        <v>1022.4983306393204</v>
      </c>
      <c r="D54" s="251">
        <f>+S54*$D$74</f>
        <v>1312.1734551861434</v>
      </c>
      <c r="E54" s="251">
        <f>+S54*$E$74</f>
        <v>1109.4966329299978</v>
      </c>
      <c r="F54" s="251">
        <f>+S54*$F$74</f>
        <v>464.32484763941375</v>
      </c>
      <c r="G54" s="251">
        <f>+S54*$G$74</f>
        <v>7680.5987575805866</v>
      </c>
      <c r="H54" s="252">
        <f>+S54*$H$74</f>
        <v>1529.1358370712528</v>
      </c>
      <c r="I54" s="251">
        <f>S54*$I$74</f>
        <v>4925.1724100304982</v>
      </c>
      <c r="J54" s="253">
        <f>+S54*$J$74</f>
        <v>1334.3393642843462</v>
      </c>
      <c r="K54" s="253">
        <f>+S54*$K$74</f>
        <v>570.45583548800835</v>
      </c>
      <c r="L54" s="251">
        <f>+S54*$L$74</f>
        <v>1428.6102211301156</v>
      </c>
      <c r="M54" s="251">
        <f>+S54*$M$74</f>
        <v>638.77071724207269</v>
      </c>
      <c r="N54" s="251">
        <f>+S54*$N$74</f>
        <v>4291.1493738159079</v>
      </c>
      <c r="O54" s="251">
        <f>+S54*$O$74</f>
        <v>990.04434155729223</v>
      </c>
      <c r="P54" s="251">
        <f>+S54*$P$74</f>
        <v>4600.9765198349569</v>
      </c>
      <c r="Q54" s="251">
        <f>+S54*$Q$74</f>
        <v>1109.7039438846625</v>
      </c>
      <c r="R54" s="251">
        <f>+S54*$R$74</f>
        <v>6667.5573803286079</v>
      </c>
      <c r="S54" s="253">
        <f>+'ind costs(2)'!C26</f>
        <v>41600</v>
      </c>
      <c r="V54" s="402">
        <v>88800</v>
      </c>
      <c r="W54" s="402">
        <v>54733.72</v>
      </c>
      <c r="X54" s="122">
        <f>W54-V54</f>
        <v>-34066.28</v>
      </c>
      <c r="Y54" s="97">
        <f>(X54/V54)</f>
        <v>-0.38362927927927926</v>
      </c>
      <c r="Z54" s="264"/>
      <c r="AA54" s="264"/>
      <c r="AB54" s="264"/>
      <c r="AC54" s="264"/>
      <c r="AD54" s="264"/>
      <c r="AE54" s="264"/>
      <c r="AF54" s="264"/>
      <c r="AG54" s="264"/>
      <c r="AH54" s="264"/>
      <c r="AI54" s="264"/>
      <c r="AJ54" s="264"/>
      <c r="AK54" s="264"/>
      <c r="AL54" s="264"/>
      <c r="AM54" s="264"/>
      <c r="AN54" s="264"/>
      <c r="AO54" s="264"/>
      <c r="AP54" s="264"/>
      <c r="AQ54" s="264"/>
      <c r="AR54" s="264"/>
      <c r="AS54" s="264"/>
      <c r="AT54" s="264"/>
      <c r="AU54" s="264"/>
      <c r="AV54" s="264"/>
      <c r="AW54" s="264"/>
      <c r="AX54" s="264"/>
      <c r="AY54" s="264"/>
      <c r="AZ54" s="264"/>
      <c r="BA54" s="264"/>
    </row>
    <row r="55" spans="1:53" x14ac:dyDescent="0.2">
      <c r="B55" s="251"/>
      <c r="C55" s="251"/>
      <c r="D55" s="251"/>
      <c r="E55" s="251"/>
      <c r="F55" s="251"/>
      <c r="G55" s="251"/>
      <c r="H55" s="252"/>
      <c r="I55" s="251"/>
      <c r="J55" s="253"/>
      <c r="K55" s="253"/>
      <c r="L55" s="251"/>
      <c r="M55" s="251"/>
      <c r="N55" s="251"/>
      <c r="O55" s="251"/>
      <c r="P55" s="251"/>
      <c r="Q55" s="251"/>
      <c r="R55" s="251"/>
      <c r="S55" s="253"/>
      <c r="V55" s="403"/>
      <c r="W55" s="403"/>
      <c r="X55" s="402"/>
      <c r="Y55" s="402"/>
    </row>
    <row r="56" spans="1:53" ht="15" x14ac:dyDescent="0.25">
      <c r="A56" s="243" t="s">
        <v>278</v>
      </c>
      <c r="B56" s="265">
        <f>SUM(B40:B55)</f>
        <v>72898.042890751778</v>
      </c>
      <c r="C56" s="265">
        <f t="shared" ref="C56:Q56" si="2">SUM(C40:C55)</f>
        <v>38721.265308371119</v>
      </c>
      <c r="D56" s="265">
        <f t="shared" si="2"/>
        <v>49691.050798191711</v>
      </c>
      <c r="E56" s="265">
        <f t="shared" si="2"/>
        <v>42015.827503175802</v>
      </c>
      <c r="F56" s="265">
        <f t="shared" si="2"/>
        <v>17583.643000642511</v>
      </c>
      <c r="G56" s="265">
        <f t="shared" si="2"/>
        <v>290858.66774322418</v>
      </c>
      <c r="H56" s="266">
        <f>SUM(H40:H55)</f>
        <v>57907.257807211143</v>
      </c>
      <c r="I56" s="265">
        <f t="shared" si="2"/>
        <v>186512.6835552085</v>
      </c>
      <c r="J56" s="267">
        <f t="shared" si="2"/>
        <v>50530.457593561332</v>
      </c>
      <c r="K56" s="267">
        <f>SUM(K40:K55)</f>
        <v>21602.746029745213</v>
      </c>
      <c r="L56" s="265">
        <f t="shared" si="2"/>
        <v>54100.426120052871</v>
      </c>
      <c r="M56" s="265">
        <f t="shared" si="2"/>
        <v>24189.78072862358</v>
      </c>
      <c r="N56" s="265">
        <f t="shared" si="2"/>
        <v>162502.69404106028</v>
      </c>
      <c r="O56" s="265">
        <f t="shared" si="2"/>
        <v>37492.256434807037</v>
      </c>
      <c r="P56" s="265">
        <f t="shared" si="2"/>
        <v>174235.62187208951</v>
      </c>
      <c r="Q56" s="265">
        <f t="shared" si="2"/>
        <v>42023.678217681976</v>
      </c>
      <c r="R56" s="265">
        <f>SUM(R40:R55)</f>
        <v>252495.53035560108</v>
      </c>
      <c r="S56" s="265">
        <f>SUM(S40:S54)</f>
        <v>1575361.6300000001</v>
      </c>
      <c r="T56" s="239">
        <f>'ind costs(2)'!B30</f>
        <v>1520059.86</v>
      </c>
      <c r="U56" s="239">
        <f>S56-T56</f>
        <v>55301.770000000019</v>
      </c>
      <c r="V56" s="402">
        <v>1514634.3</v>
      </c>
      <c r="W56" s="402">
        <f>SUM(W40:W54)</f>
        <v>1347708.7</v>
      </c>
      <c r="X56" s="404">
        <f>W56-V56</f>
        <v>-166925.60000000009</v>
      </c>
      <c r="Y56" s="405">
        <f>(X56/V56)</f>
        <v>-0.11020851699978014</v>
      </c>
    </row>
    <row r="57" spans="1:53" ht="15.75" thickBot="1" x14ac:dyDescent="0.3">
      <c r="A57" s="268" t="s">
        <v>279</v>
      </c>
      <c r="B57" s="269">
        <f>SUM(B56+B35)</f>
        <v>170808.04289075179</v>
      </c>
      <c r="C57" s="269">
        <f t="shared" ref="C57:R57" si="3">SUM(C56+C35)</f>
        <v>172477.2653083711</v>
      </c>
      <c r="D57" s="269">
        <f t="shared" si="3"/>
        <v>200261.05079819172</v>
      </c>
      <c r="E57" s="269">
        <f t="shared" si="3"/>
        <v>109605.82750317579</v>
      </c>
      <c r="F57" s="269">
        <f t="shared" si="3"/>
        <v>21583.643000642511</v>
      </c>
      <c r="G57" s="269">
        <f>SUM(G56+G35)</f>
        <v>404743.66774322418</v>
      </c>
      <c r="H57" s="270">
        <f>SUM(H56+H35)</f>
        <v>66602.257807211136</v>
      </c>
      <c r="I57" s="269">
        <f t="shared" si="3"/>
        <v>297832.6835552085</v>
      </c>
      <c r="J57" s="271">
        <f t="shared" si="3"/>
        <v>57770.457593561332</v>
      </c>
      <c r="K57" s="271">
        <f t="shared" si="3"/>
        <v>27472.746029745213</v>
      </c>
      <c r="L57" s="269">
        <f t="shared" si="3"/>
        <v>71220.426120052871</v>
      </c>
      <c r="M57" s="269">
        <f>SUM(M56+M35)</f>
        <v>29059.78072862358</v>
      </c>
      <c r="N57" s="269">
        <f>SUM(N56+N35)</f>
        <v>266372.69404106028</v>
      </c>
      <c r="O57" s="269">
        <f t="shared" si="3"/>
        <v>101092.25643480703</v>
      </c>
      <c r="P57" s="269">
        <f t="shared" si="3"/>
        <v>440566.62187208951</v>
      </c>
      <c r="Q57" s="269">
        <f t="shared" si="3"/>
        <v>65223.678217681976</v>
      </c>
      <c r="R57" s="269">
        <f t="shared" si="3"/>
        <v>315070.53035560111</v>
      </c>
      <c r="S57" s="269">
        <f>SUM(B57:R57)</f>
        <v>2817763.63</v>
      </c>
      <c r="T57" s="249"/>
      <c r="V57" s="402">
        <v>2777265.3</v>
      </c>
      <c r="W57" s="402">
        <f>W35+W56</f>
        <v>2379234.88</v>
      </c>
      <c r="X57" s="404">
        <f>W57-V57</f>
        <v>-398030.41999999993</v>
      </c>
      <c r="Y57" s="405">
        <f>(X57/V57)</f>
        <v>-0.14331739211230557</v>
      </c>
    </row>
    <row r="58" spans="1:53" ht="13.5" thickTop="1" x14ac:dyDescent="0.2">
      <c r="S58" s="274">
        <f>+S57-Income!E32</f>
        <v>0</v>
      </c>
    </row>
    <row r="59" spans="1:53" x14ac:dyDescent="0.2">
      <c r="V59" s="373"/>
    </row>
    <row r="60" spans="1:53" x14ac:dyDescent="0.2">
      <c r="N60" s="272"/>
      <c r="O60" s="272"/>
    </row>
    <row r="61" spans="1:53" x14ac:dyDescent="0.2">
      <c r="D61" s="273"/>
      <c r="E61" s="273"/>
      <c r="F61" s="273"/>
      <c r="V61" s="373"/>
    </row>
    <row r="62" spans="1:53" x14ac:dyDescent="0.2">
      <c r="D62" s="273"/>
      <c r="E62" s="273"/>
      <c r="F62" s="273"/>
    </row>
    <row r="63" spans="1:53" hidden="1" x14ac:dyDescent="0.2">
      <c r="A63" s="239" t="s">
        <v>272</v>
      </c>
      <c r="B63" s="251">
        <f>S63*0.0494</f>
        <v>53.104999999999997</v>
      </c>
      <c r="C63" s="251">
        <f>S63*0.0153</f>
        <v>16.447499999999998</v>
      </c>
      <c r="D63" s="251">
        <f>S63*0.0545</f>
        <v>58.587499999999999</v>
      </c>
      <c r="E63" s="251">
        <f>S63*0.0314</f>
        <v>33.754999999999995</v>
      </c>
      <c r="F63" s="251"/>
      <c r="G63" s="251">
        <f>S63*0.1665</f>
        <v>178.98750000000001</v>
      </c>
      <c r="H63" s="252">
        <f>+S63*0.0248</f>
        <v>26.66</v>
      </c>
      <c r="I63" s="251">
        <f>S63*0.1224</f>
        <v>131.57999999999998</v>
      </c>
      <c r="J63" s="253">
        <f>S63*0.0184</f>
        <v>19.78</v>
      </c>
      <c r="K63" s="253"/>
      <c r="L63" s="251">
        <f>S63*0.0422</f>
        <v>45.365000000000002</v>
      </c>
      <c r="M63" s="251">
        <f>S63*0.0293</f>
        <v>31.497499999999999</v>
      </c>
      <c r="N63" s="251">
        <f>+S63*0.1557</f>
        <v>167.3775</v>
      </c>
      <c r="O63" s="251">
        <f>S63*0.0456</f>
        <v>49.02</v>
      </c>
      <c r="P63" s="251">
        <f>S63*0.1053</f>
        <v>113.19750000000001</v>
      </c>
      <c r="Q63" s="251">
        <f>S63*0.0095</f>
        <v>10.2125</v>
      </c>
      <c r="R63" s="251">
        <f>+S63*0.1029</f>
        <v>110.61750000000001</v>
      </c>
      <c r="S63" s="251">
        <v>1075</v>
      </c>
      <c r="T63" s="281" t="s">
        <v>281</v>
      </c>
    </row>
    <row r="64" spans="1:53" hidden="1" x14ac:dyDescent="0.2">
      <c r="A64" s="239" t="s">
        <v>272</v>
      </c>
      <c r="B64" s="251">
        <f>S64*0.0494</f>
        <v>31.122</v>
      </c>
      <c r="C64" s="251">
        <f>S64*0.0153</f>
        <v>9.6389999999999993</v>
      </c>
      <c r="D64" s="251">
        <f>S64*0.0545</f>
        <v>34.335000000000001</v>
      </c>
      <c r="E64" s="251">
        <f>S64*0.0314</f>
        <v>19.782</v>
      </c>
      <c r="F64" s="251"/>
      <c r="G64" s="251">
        <f>S64*0.1665</f>
        <v>104.89500000000001</v>
      </c>
      <c r="H64" s="252">
        <f>+S64*0.0248</f>
        <v>15.623999999999999</v>
      </c>
      <c r="I64" s="251">
        <f>S64*0.1224</f>
        <v>77.111999999999995</v>
      </c>
      <c r="J64" s="253">
        <f>S64*0.0184</f>
        <v>11.592000000000001</v>
      </c>
      <c r="K64" s="253"/>
      <c r="L64" s="251">
        <f>S64*0.0422</f>
        <v>26.586000000000002</v>
      </c>
      <c r="M64" s="251">
        <f>S64*0.0293</f>
        <v>18.459</v>
      </c>
      <c r="N64" s="251">
        <f>+S64*0.1557</f>
        <v>98.091000000000008</v>
      </c>
      <c r="O64" s="251">
        <f>S64*0.0456</f>
        <v>28.728000000000002</v>
      </c>
      <c r="P64" s="251">
        <f>S64*0.1053</f>
        <v>66.338999999999999</v>
      </c>
      <c r="Q64" s="251">
        <f>S64*0.0095</f>
        <v>5.9849999999999994</v>
      </c>
      <c r="R64" s="251">
        <f>+S64*0.1029</f>
        <v>64.826999999999998</v>
      </c>
      <c r="S64" s="251">
        <v>630</v>
      </c>
      <c r="T64" s="281" t="s">
        <v>282</v>
      </c>
      <c r="V64" s="374"/>
    </row>
    <row r="65" spans="1:22" hidden="1" x14ac:dyDescent="0.2">
      <c r="A65" s="239" t="s">
        <v>272</v>
      </c>
      <c r="B65" s="251">
        <f>S65*0.0494</f>
        <v>3551.86</v>
      </c>
      <c r="C65" s="251">
        <f>S65*0.0153</f>
        <v>1100.07</v>
      </c>
      <c r="D65" s="251">
        <f>S65*0.0545</f>
        <v>3918.55</v>
      </c>
      <c r="E65" s="251">
        <f>S65*0.0314</f>
        <v>2257.66</v>
      </c>
      <c r="F65" s="251"/>
      <c r="G65" s="251">
        <f>S65*0.1665</f>
        <v>11971.35</v>
      </c>
      <c r="H65" s="252">
        <f>+S65*0.0248</f>
        <v>1783.12</v>
      </c>
      <c r="I65" s="251">
        <f>S65*0.1224</f>
        <v>8800.56</v>
      </c>
      <c r="J65" s="253">
        <f>S65*0.0184</f>
        <v>1322.96</v>
      </c>
      <c r="K65" s="253"/>
      <c r="L65" s="251">
        <f>S65*0.0422</f>
        <v>3034.1800000000003</v>
      </c>
      <c r="M65" s="251">
        <f>S65*0.0293</f>
        <v>2106.67</v>
      </c>
      <c r="N65" s="251">
        <f>+S65*0.1557</f>
        <v>11194.83</v>
      </c>
      <c r="O65" s="251">
        <f>S65*0.0456</f>
        <v>3278.6400000000003</v>
      </c>
      <c r="P65" s="251">
        <f>S65*0.1053</f>
        <v>7571.0700000000006</v>
      </c>
      <c r="Q65" s="251">
        <f>S65*0.0095</f>
        <v>683.05</v>
      </c>
      <c r="R65" s="251">
        <f>+S65*0.1029</f>
        <v>7398.51</v>
      </c>
      <c r="S65" s="33">
        <f>73605-1075-630</f>
        <v>71900</v>
      </c>
      <c r="T65" s="281" t="s">
        <v>283</v>
      </c>
    </row>
    <row r="66" spans="1:22" hidden="1" x14ac:dyDescent="0.2">
      <c r="D66" s="273"/>
      <c r="E66" s="273"/>
      <c r="F66" s="273"/>
    </row>
    <row r="67" spans="1:22" x14ac:dyDescent="0.2">
      <c r="D67" s="273"/>
      <c r="E67" s="273"/>
      <c r="F67" s="273"/>
    </row>
    <row r="68" spans="1:22" x14ac:dyDescent="0.2">
      <c r="D68" s="273"/>
      <c r="E68" s="273"/>
      <c r="F68" s="273"/>
    </row>
    <row r="69" spans="1:22" x14ac:dyDescent="0.2">
      <c r="D69" s="273"/>
      <c r="E69" s="273"/>
      <c r="F69" s="273"/>
    </row>
    <row r="70" spans="1:22" x14ac:dyDescent="0.2">
      <c r="D70" s="273"/>
      <c r="E70" s="273"/>
      <c r="F70" s="273"/>
    </row>
    <row r="71" spans="1:22" x14ac:dyDescent="0.2">
      <c r="D71" s="273"/>
      <c r="E71" s="273"/>
      <c r="F71" s="273"/>
    </row>
    <row r="72" spans="1:22" x14ac:dyDescent="0.2">
      <c r="D72" s="273"/>
      <c r="E72" s="273"/>
      <c r="F72" s="273"/>
    </row>
    <row r="73" spans="1:22" x14ac:dyDescent="0.2">
      <c r="D73" s="273"/>
      <c r="E73" s="273"/>
      <c r="F73" s="273"/>
    </row>
    <row r="74" spans="1:22" s="375" customFormat="1" x14ac:dyDescent="0.2">
      <c r="B74" s="375">
        <v>4.6273846907615587E-2</v>
      </c>
      <c r="C74" s="375">
        <v>2.4579286794214433E-2</v>
      </c>
      <c r="D74" s="375">
        <v>3.1542631134282295E-2</v>
      </c>
      <c r="E74" s="375">
        <v>2.6670592137740333E-2</v>
      </c>
      <c r="F74" s="375">
        <v>1.1161654991332062E-2</v>
      </c>
      <c r="G74" s="375">
        <v>0.1846297778264564</v>
      </c>
      <c r="H74" s="375">
        <v>3.6758073006520502E-2</v>
      </c>
      <c r="I74" s="375">
        <v>0.11839356754881004</v>
      </c>
      <c r="J74" s="376">
        <v>3.2075465487604475E-2</v>
      </c>
      <c r="K74" s="375">
        <v>1.3712880660769432E-2</v>
      </c>
      <c r="L74" s="375">
        <v>3.4341591854089318E-2</v>
      </c>
      <c r="M74" s="375">
        <v>1.5355065318319054E-2</v>
      </c>
      <c r="N74" s="375">
        <v>0.10315262917826701</v>
      </c>
      <c r="O74" s="375">
        <v>2.3799142825896447E-2</v>
      </c>
      <c r="P74" s="375">
        <v>0.11060039711141723</v>
      </c>
      <c r="Q74" s="375">
        <v>2.667557557415054E-2</v>
      </c>
      <c r="R74" s="375">
        <v>0.16027782164251461</v>
      </c>
      <c r="S74" s="375">
        <f>SUM(B74:R74)</f>
        <v>0.99999999999999989</v>
      </c>
      <c r="V74" s="239"/>
    </row>
    <row r="75" spans="1:22" x14ac:dyDescent="0.2">
      <c r="D75" s="273"/>
      <c r="E75" s="273"/>
      <c r="F75" s="273"/>
    </row>
    <row r="76" spans="1:22" x14ac:dyDescent="0.2">
      <c r="D76" s="273"/>
      <c r="E76" s="273"/>
      <c r="F76" s="273"/>
    </row>
    <row r="77" spans="1:22" x14ac:dyDescent="0.2">
      <c r="D77" s="273"/>
      <c r="E77" s="273"/>
      <c r="F77" s="273"/>
    </row>
    <row r="78" spans="1:22" x14ac:dyDescent="0.2">
      <c r="D78" s="273"/>
      <c r="E78" s="274"/>
      <c r="F78" s="274"/>
    </row>
    <row r="80" spans="1:22" x14ac:dyDescent="0.2">
      <c r="V80" s="375"/>
    </row>
  </sheetData>
  <mergeCells count="18">
    <mergeCell ref="N4:N5"/>
    <mergeCell ref="B4:B5"/>
    <mergeCell ref="C4:C5"/>
    <mergeCell ref="D4:D5"/>
    <mergeCell ref="E4:E5"/>
    <mergeCell ref="G4:G5"/>
    <mergeCell ref="H4:H5"/>
    <mergeCell ref="F4:F5"/>
    <mergeCell ref="I4:I5"/>
    <mergeCell ref="J4:J5"/>
    <mergeCell ref="L4:L5"/>
    <mergeCell ref="M4:M5"/>
    <mergeCell ref="K4:K5"/>
    <mergeCell ref="O4:O5"/>
    <mergeCell ref="P4:P5"/>
    <mergeCell ref="Q4:Q5"/>
    <mergeCell ref="R4:R5"/>
    <mergeCell ref="S4:S5"/>
  </mergeCells>
  <pageMargins left="0.7" right="0.7" top="0.75" bottom="0.75" header="0.3" footer="0.3"/>
  <pageSetup paperSize="5" scale="59" orientation="landscape" r:id="rId1"/>
  <colBreaks count="1" manualBreakCount="1">
    <brk id="20" max="1048575" man="1"/>
  </colBreaks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0"/>
  <dimension ref="A1:G32"/>
  <sheetViews>
    <sheetView showGridLines="0" topLeftCell="A11" zoomScaleNormal="100" workbookViewId="0">
      <selection activeCell="R42" sqref="R42"/>
    </sheetView>
  </sheetViews>
  <sheetFormatPr defaultColWidth="8.7109375" defaultRowHeight="12.75" x14ac:dyDescent="0.2"/>
  <cols>
    <col min="1" max="1" width="34.7109375" bestFit="1" customWidth="1"/>
    <col min="2" max="2" width="10.7109375" customWidth="1"/>
    <col min="3" max="3" width="12.28515625" bestFit="1" customWidth="1"/>
    <col min="4" max="4" width="10.28515625" bestFit="1" customWidth="1"/>
    <col min="5" max="5" width="9.42578125" bestFit="1" customWidth="1"/>
  </cols>
  <sheetData>
    <row r="1" spans="1:5" ht="15.75" x14ac:dyDescent="0.25">
      <c r="A1" s="3" t="str">
        <f>'Ann Sess'!A1</f>
        <v>2026 Budget</v>
      </c>
      <c r="B1" s="3" t="s">
        <v>236</v>
      </c>
      <c r="C1" s="3"/>
    </row>
    <row r="2" spans="1:5" ht="15.75" x14ac:dyDescent="0.25">
      <c r="A2" s="359" t="str">
        <f>'Ann Sess'!A2</f>
        <v>1st Draft</v>
      </c>
      <c r="B2" s="3"/>
      <c r="C2" s="3"/>
    </row>
    <row r="3" spans="1:5" ht="15.75" x14ac:dyDescent="0.25">
      <c r="A3" s="3"/>
      <c r="B3" s="3" t="s">
        <v>39</v>
      </c>
      <c r="C3" s="3"/>
    </row>
    <row r="4" spans="1:5" x14ac:dyDescent="0.2">
      <c r="E4" s="7" t="s">
        <v>0</v>
      </c>
    </row>
    <row r="5" spans="1:5" ht="15" x14ac:dyDescent="0.25">
      <c r="A5" s="63" t="s">
        <v>26</v>
      </c>
      <c r="B5" s="63">
        <f>'Ann Sess'!B5</f>
        <v>2025</v>
      </c>
      <c r="C5" s="63">
        <f>'Ann Sess'!C5</f>
        <v>2026</v>
      </c>
      <c r="D5" s="4" t="s">
        <v>44</v>
      </c>
      <c r="E5" s="55" t="s">
        <v>44</v>
      </c>
    </row>
    <row r="6" spans="1:5" ht="15" x14ac:dyDescent="0.25">
      <c r="A6" s="46" t="s">
        <v>41</v>
      </c>
      <c r="B6" s="46" t="s">
        <v>43</v>
      </c>
      <c r="C6" s="46" t="s">
        <v>120</v>
      </c>
      <c r="D6" s="5" t="s">
        <v>47</v>
      </c>
      <c r="E6" s="46" t="s">
        <v>46</v>
      </c>
    </row>
    <row r="7" spans="1:5" ht="15" x14ac:dyDescent="0.25">
      <c r="A7" s="162" t="s">
        <v>67</v>
      </c>
      <c r="B7" s="197">
        <f>Communications!B47</f>
        <v>109410</v>
      </c>
      <c r="C7" s="197">
        <f>Communications!C47</f>
        <v>99820</v>
      </c>
      <c r="D7" s="198">
        <f>C7-B7</f>
        <v>-9590</v>
      </c>
      <c r="E7" s="103">
        <f>D7/B7</f>
        <v>-8.7651951375559825E-2</v>
      </c>
    </row>
    <row r="8" spans="1:5" x14ac:dyDescent="0.2">
      <c r="A8" s="6"/>
      <c r="B8" s="17"/>
      <c r="C8" s="17"/>
      <c r="D8" s="61"/>
      <c r="E8" s="6"/>
    </row>
    <row r="9" spans="1:5" x14ac:dyDescent="0.2">
      <c r="A9" s="144" t="s">
        <v>14</v>
      </c>
      <c r="B9" s="17"/>
      <c r="C9" s="17"/>
      <c r="D9" s="14"/>
      <c r="E9" s="51"/>
    </row>
    <row r="10" spans="1:5" x14ac:dyDescent="0.2">
      <c r="A10" s="58" t="s">
        <v>100</v>
      </c>
      <c r="B10" s="17">
        <v>6000</v>
      </c>
      <c r="C10" s="17">
        <v>250</v>
      </c>
      <c r="D10" s="14">
        <f>C10-B10</f>
        <v>-5750</v>
      </c>
      <c r="E10" s="51">
        <f>D10/B10</f>
        <v>-0.95833333333333337</v>
      </c>
    </row>
    <row r="11" spans="1:5" x14ac:dyDescent="0.2">
      <c r="A11" s="58" t="s">
        <v>469</v>
      </c>
      <c r="B11" s="17">
        <v>250</v>
      </c>
      <c r="C11" s="17">
        <v>50</v>
      </c>
      <c r="D11" s="14">
        <f>C11-B11</f>
        <v>-200</v>
      </c>
      <c r="E11" s="51">
        <f>D11/B11</f>
        <v>-0.8</v>
      </c>
    </row>
    <row r="12" spans="1:5" x14ac:dyDescent="0.2">
      <c r="A12" s="58" t="s">
        <v>101</v>
      </c>
      <c r="B12" s="17">
        <v>2500</v>
      </c>
      <c r="C12" s="17">
        <v>0</v>
      </c>
      <c r="D12" s="14">
        <f>C12-B12</f>
        <v>-2500</v>
      </c>
      <c r="E12" s="51">
        <f>D12/B12</f>
        <v>-1</v>
      </c>
    </row>
    <row r="13" spans="1:5" x14ac:dyDescent="0.2">
      <c r="A13" s="6" t="s">
        <v>489</v>
      </c>
      <c r="B13" s="17">
        <v>400</v>
      </c>
      <c r="C13" s="17">
        <v>100</v>
      </c>
      <c r="D13" s="14">
        <f>C13-B13</f>
        <v>-300</v>
      </c>
      <c r="E13" s="51">
        <f>D13/B13</f>
        <v>-0.75</v>
      </c>
    </row>
    <row r="14" spans="1:5" x14ac:dyDescent="0.2">
      <c r="A14" s="2"/>
      <c r="B14" s="233">
        <f>SUM(B10:B13)</f>
        <v>9150</v>
      </c>
      <c r="C14" s="233">
        <f>SUM(C10:C13)</f>
        <v>400</v>
      </c>
      <c r="D14" s="233">
        <f>SUM(D10:D13)</f>
        <v>-8750</v>
      </c>
      <c r="E14" s="234">
        <f>D14/B14</f>
        <v>-0.95628415300546443</v>
      </c>
    </row>
    <row r="15" spans="1:5" x14ac:dyDescent="0.2">
      <c r="A15" s="145"/>
      <c r="B15" s="17"/>
      <c r="C15" s="17"/>
      <c r="D15" s="14"/>
      <c r="E15" s="51"/>
    </row>
    <row r="16" spans="1:5" x14ac:dyDescent="0.2">
      <c r="A16" s="144" t="s">
        <v>40</v>
      </c>
      <c r="B16" s="17"/>
      <c r="C16" s="17"/>
      <c r="D16" s="16"/>
      <c r="E16" s="51"/>
    </row>
    <row r="17" spans="1:7" x14ac:dyDescent="0.2">
      <c r="A17" s="58" t="s">
        <v>504</v>
      </c>
      <c r="B17" s="17">
        <v>15000</v>
      </c>
      <c r="C17" s="17">
        <v>300</v>
      </c>
      <c r="D17" s="16">
        <f>C17-B17</f>
        <v>-14700</v>
      </c>
      <c r="E17" s="51">
        <f>D17/B17</f>
        <v>-0.98</v>
      </c>
    </row>
    <row r="18" spans="1:7" x14ac:dyDescent="0.2">
      <c r="A18" s="151" t="s">
        <v>380</v>
      </c>
      <c r="B18" s="383">
        <v>1000</v>
      </c>
      <c r="C18" s="383">
        <v>1200</v>
      </c>
      <c r="D18" s="383">
        <f>C18-B18</f>
        <v>200</v>
      </c>
      <c r="E18" s="102">
        <f>D18/B18</f>
        <v>0.2</v>
      </c>
    </row>
    <row r="19" spans="1:7" x14ac:dyDescent="0.2">
      <c r="A19" s="145"/>
      <c r="B19" s="25">
        <f>SUM(B17:B18)</f>
        <v>16000</v>
      </c>
      <c r="C19" s="25">
        <f>SUM(C17:C18)</f>
        <v>1500</v>
      </c>
      <c r="D19" s="25">
        <f>SUM(D17:D18)</f>
        <v>-14500</v>
      </c>
      <c r="E19" s="51">
        <f>D19/B19</f>
        <v>-0.90625</v>
      </c>
    </row>
    <row r="20" spans="1:7" x14ac:dyDescent="0.2">
      <c r="A20" s="144" t="s">
        <v>15</v>
      </c>
      <c r="B20" s="17"/>
      <c r="C20" s="17"/>
      <c r="D20" s="16"/>
      <c r="E20" s="51"/>
    </row>
    <row r="21" spans="1:7" x14ac:dyDescent="0.2">
      <c r="A21" s="6" t="s">
        <v>479</v>
      </c>
      <c r="B21" s="25">
        <v>150</v>
      </c>
      <c r="C21" s="25">
        <v>150</v>
      </c>
      <c r="D21" s="232">
        <f>C21-B21</f>
        <v>0</v>
      </c>
      <c r="E21" s="139">
        <v>0</v>
      </c>
    </row>
    <row r="22" spans="1:7" x14ac:dyDescent="0.2">
      <c r="A22" s="6"/>
      <c r="B22" s="235">
        <f>SUM(B21:B21)</f>
        <v>150</v>
      </c>
      <c r="C22" s="235">
        <f>SUM(C21:C21)</f>
        <v>150</v>
      </c>
      <c r="D22" s="235">
        <f>SUM(D21:D21)</f>
        <v>0</v>
      </c>
      <c r="E22" s="51">
        <f>D22/B22</f>
        <v>0</v>
      </c>
    </row>
    <row r="23" spans="1:7" x14ac:dyDescent="0.2">
      <c r="A23" s="6"/>
      <c r="B23" s="25"/>
      <c r="C23" s="25"/>
      <c r="D23" s="380"/>
      <c r="E23" s="51"/>
    </row>
    <row r="24" spans="1:7" ht="15" x14ac:dyDescent="0.35">
      <c r="A24" s="144" t="s">
        <v>427</v>
      </c>
      <c r="B24" s="18"/>
      <c r="C24" s="18"/>
      <c r="D24" s="24"/>
      <c r="E24" s="51"/>
    </row>
    <row r="25" spans="1:7" x14ac:dyDescent="0.2">
      <c r="A25" s="58" t="s">
        <v>430</v>
      </c>
      <c r="B25" s="25">
        <v>1000</v>
      </c>
      <c r="C25" s="25">
        <v>1500</v>
      </c>
      <c r="D25" s="16">
        <f>C25-B25</f>
        <v>500</v>
      </c>
      <c r="E25" s="51">
        <f>D25/B25</f>
        <v>0.5</v>
      </c>
    </row>
    <row r="26" spans="1:7" x14ac:dyDescent="0.2">
      <c r="A26" s="6"/>
      <c r="B26" s="25"/>
      <c r="C26" s="25"/>
      <c r="D26" s="380"/>
      <c r="E26" s="51"/>
    </row>
    <row r="27" spans="1:7" ht="15" x14ac:dyDescent="0.35">
      <c r="A27" s="144" t="s">
        <v>17</v>
      </c>
      <c r="B27" s="18"/>
      <c r="C27" s="18"/>
      <c r="D27" s="24"/>
      <c r="E27" s="51"/>
    </row>
    <row r="28" spans="1:7" x14ac:dyDescent="0.2">
      <c r="A28" s="58" t="s">
        <v>300</v>
      </c>
      <c r="B28" s="25">
        <v>1000</v>
      </c>
      <c r="C28" s="25">
        <v>500</v>
      </c>
      <c r="D28" s="16">
        <f>C28-B28</f>
        <v>-500</v>
      </c>
      <c r="E28" s="51">
        <f>D28/B28</f>
        <v>-0.5</v>
      </c>
    </row>
    <row r="29" spans="1:7" x14ac:dyDescent="0.2">
      <c r="A29" s="6"/>
      <c r="B29" s="25" t="s">
        <v>0</v>
      </c>
      <c r="C29" s="25" t="s">
        <v>0</v>
      </c>
      <c r="D29" s="25" t="s">
        <v>0</v>
      </c>
      <c r="E29" s="51"/>
    </row>
    <row r="30" spans="1:7" x14ac:dyDescent="0.2">
      <c r="A30" s="145" t="s">
        <v>0</v>
      </c>
      <c r="B30" s="17"/>
      <c r="C30" s="17"/>
      <c r="D30" s="83"/>
      <c r="E30" s="52" t="s">
        <v>0</v>
      </c>
    </row>
    <row r="31" spans="1:7" ht="15.75" thickBot="1" x14ac:dyDescent="0.3">
      <c r="A31" s="166" t="s">
        <v>22</v>
      </c>
      <c r="B31" s="195">
        <f>B28+B22+B19+B14+B7+B25</f>
        <v>136710</v>
      </c>
      <c r="C31" s="195">
        <f>C28+C22+C19+C14+C7+C25</f>
        <v>103870</v>
      </c>
      <c r="D31" s="195">
        <f>D28+D22+D19+D14+D7+D25</f>
        <v>-32840</v>
      </c>
      <c r="E31" s="143">
        <f>D31/B31</f>
        <v>-0.24021651671421257</v>
      </c>
      <c r="G31" s="14"/>
    </row>
    <row r="32" spans="1:7" ht="13.5" thickTop="1" x14ac:dyDescent="0.2">
      <c r="A32" s="146"/>
      <c r="B32" s="47"/>
      <c r="C32" s="47"/>
      <c r="D32" s="47"/>
      <c r="E32" s="196"/>
    </row>
  </sheetData>
  <phoneticPr fontId="0" type="noConversion"/>
  <pageMargins left="1" right="0.5" top="1" bottom="0.5" header="0.5" footer="0.5"/>
  <pageSetup scale="86" orientation="portrait" horizontalDpi="300" verticalDpi="300" r:id="rId1"/>
  <headerFooter alignWithMargins="0"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22"/>
  <dimension ref="A1:H37"/>
  <sheetViews>
    <sheetView showGridLines="0" zoomScaleNormal="100" workbookViewId="0">
      <selection activeCell="G1" sqref="G1:G1048576"/>
    </sheetView>
  </sheetViews>
  <sheetFormatPr defaultColWidth="8.7109375" defaultRowHeight="12.75" x14ac:dyDescent="0.2"/>
  <cols>
    <col min="1" max="1" width="50.42578125" customWidth="1"/>
    <col min="2" max="2" width="10.7109375" customWidth="1"/>
    <col min="3" max="3" width="11" bestFit="1" customWidth="1"/>
    <col min="4" max="4" width="10.28515625" bestFit="1" customWidth="1"/>
    <col min="5" max="5" width="9.28515625" bestFit="1" customWidth="1"/>
    <col min="6" max="6" width="10.28515625" bestFit="1" customWidth="1"/>
  </cols>
  <sheetData>
    <row r="1" spans="1:8" ht="15.75" x14ac:dyDescent="0.25">
      <c r="A1" s="3" t="str">
        <f>'Ann Sess'!A1</f>
        <v>2026 Budget</v>
      </c>
      <c r="B1" s="3" t="s">
        <v>6</v>
      </c>
    </row>
    <row r="2" spans="1:8" ht="15.75" x14ac:dyDescent="0.25">
      <c r="A2" s="359" t="str">
        <f>'Ann Sess'!A2</f>
        <v>1st Draft</v>
      </c>
      <c r="B2" s="3"/>
    </row>
    <row r="3" spans="1:8" ht="15.75" x14ac:dyDescent="0.25">
      <c r="A3" s="100"/>
      <c r="B3" s="3" t="s">
        <v>7</v>
      </c>
    </row>
    <row r="4" spans="1:8" x14ac:dyDescent="0.2">
      <c r="D4" s="7" t="s">
        <v>0</v>
      </c>
    </row>
    <row r="5" spans="1:8" ht="15" x14ac:dyDescent="0.25">
      <c r="A5" s="63" t="s">
        <v>26</v>
      </c>
      <c r="B5" s="63">
        <f>'Ann Sess'!B5</f>
        <v>2025</v>
      </c>
      <c r="C5" s="63">
        <f>'Ann Sess'!C5</f>
        <v>2026</v>
      </c>
      <c r="D5" s="4" t="s">
        <v>44</v>
      </c>
      <c r="E5" s="55" t="s">
        <v>44</v>
      </c>
    </row>
    <row r="6" spans="1:8" ht="15" x14ac:dyDescent="0.25">
      <c r="A6" s="46" t="s">
        <v>41</v>
      </c>
      <c r="B6" s="46" t="s">
        <v>43</v>
      </c>
      <c r="C6" s="46" t="s">
        <v>120</v>
      </c>
      <c r="D6" s="5" t="s">
        <v>45</v>
      </c>
      <c r="E6" s="56" t="s">
        <v>46</v>
      </c>
    </row>
    <row r="7" spans="1:8" x14ac:dyDescent="0.2">
      <c r="A7" s="6"/>
      <c r="B7" s="2"/>
      <c r="C7" s="2"/>
      <c r="D7" s="2"/>
      <c r="E7" s="50"/>
    </row>
    <row r="8" spans="1:8" x14ac:dyDescent="0.2">
      <c r="A8" s="144" t="s">
        <v>10</v>
      </c>
      <c r="B8" s="11"/>
      <c r="C8" s="11"/>
      <c r="D8" s="2"/>
      <c r="E8" s="6"/>
      <c r="H8" s="9"/>
    </row>
    <row r="9" spans="1:8" x14ac:dyDescent="0.2">
      <c r="A9" s="58" t="s">
        <v>187</v>
      </c>
      <c r="B9" s="11"/>
      <c r="C9" s="11"/>
      <c r="D9" s="2"/>
      <c r="E9" s="51" t="s">
        <v>0</v>
      </c>
    </row>
    <row r="10" spans="1:8" x14ac:dyDescent="0.2">
      <c r="A10" s="58" t="s">
        <v>523</v>
      </c>
      <c r="B10" s="90">
        <v>7280</v>
      </c>
      <c r="C10" s="90">
        <f>2*27*180</f>
        <v>9720</v>
      </c>
      <c r="D10" s="11">
        <f>C10-B10</f>
        <v>2440</v>
      </c>
      <c r="E10" s="51">
        <f t="shared" ref="E10:E15" si="0">(D10/B10)</f>
        <v>0.33516483516483514</v>
      </c>
    </row>
    <row r="11" spans="1:8" x14ac:dyDescent="0.2">
      <c r="A11" s="58" t="s">
        <v>514</v>
      </c>
      <c r="B11" s="90">
        <v>9600</v>
      </c>
      <c r="C11" s="90">
        <f>(27+27+12)*180</f>
        <v>11880</v>
      </c>
      <c r="D11" s="11">
        <f>C11-B11</f>
        <v>2280</v>
      </c>
      <c r="E11" s="51">
        <f t="shared" si="0"/>
        <v>0.23749999999999999</v>
      </c>
      <c r="F11" s="321"/>
    </row>
    <row r="12" spans="1:8" x14ac:dyDescent="0.2">
      <c r="A12" s="58" t="s">
        <v>460</v>
      </c>
      <c r="B12" s="90">
        <v>1500</v>
      </c>
      <c r="C12" s="90">
        <f>(5*140)+(160*5)</f>
        <v>1500</v>
      </c>
      <c r="D12" s="11">
        <f>C12-B12</f>
        <v>0</v>
      </c>
      <c r="E12" s="51">
        <f>(D12/B12)</f>
        <v>0</v>
      </c>
      <c r="F12" s="321"/>
    </row>
    <row r="13" spans="1:8" x14ac:dyDescent="0.2">
      <c r="A13" s="58" t="s">
        <v>188</v>
      </c>
      <c r="B13" s="90">
        <v>2800</v>
      </c>
      <c r="C13" s="90">
        <v>2500</v>
      </c>
      <c r="D13" s="11">
        <f>C13-B13</f>
        <v>-300</v>
      </c>
      <c r="E13" s="51">
        <f t="shared" si="0"/>
        <v>-0.10714285714285714</v>
      </c>
    </row>
    <row r="14" spans="1:8" x14ac:dyDescent="0.2">
      <c r="A14" s="151" t="s">
        <v>333</v>
      </c>
      <c r="B14" s="302">
        <v>13000</v>
      </c>
      <c r="C14" s="302">
        <v>13500</v>
      </c>
      <c r="D14" s="388">
        <f>C14-B14</f>
        <v>500</v>
      </c>
      <c r="E14" s="102">
        <f t="shared" si="0"/>
        <v>3.8461538461538464E-2</v>
      </c>
    </row>
    <row r="15" spans="1:8" x14ac:dyDescent="0.2">
      <c r="A15" s="2"/>
      <c r="B15" s="90">
        <f>SUM(B10:B14)</f>
        <v>34180</v>
      </c>
      <c r="C15" s="90">
        <f>SUM(C10:C14)</f>
        <v>39100</v>
      </c>
      <c r="D15" s="90">
        <f>SUM(D10:D14)</f>
        <v>4920</v>
      </c>
      <c r="E15" s="51">
        <f t="shared" si="0"/>
        <v>0.14394382679929785</v>
      </c>
    </row>
    <row r="16" spans="1:8" x14ac:dyDescent="0.2">
      <c r="A16" s="2"/>
      <c r="B16" s="90" t="s">
        <v>0</v>
      </c>
      <c r="C16" s="90" t="s">
        <v>0</v>
      </c>
      <c r="D16" s="11" t="s">
        <v>0</v>
      </c>
      <c r="E16" s="51" t="s">
        <v>0</v>
      </c>
    </row>
    <row r="17" spans="1:6" x14ac:dyDescent="0.2">
      <c r="A17" s="58" t="s">
        <v>515</v>
      </c>
      <c r="B17" s="90"/>
      <c r="C17" s="90"/>
      <c r="D17" s="11" t="s">
        <v>0</v>
      </c>
      <c r="E17" s="51" t="s">
        <v>0</v>
      </c>
    </row>
    <row r="18" spans="1:6" x14ac:dyDescent="0.2">
      <c r="A18" s="6" t="s">
        <v>456</v>
      </c>
      <c r="B18" s="89">
        <v>6000</v>
      </c>
      <c r="C18" s="89">
        <v>6000</v>
      </c>
      <c r="D18" s="11">
        <f>C18-B18</f>
        <v>0</v>
      </c>
      <c r="E18" s="51">
        <f>(D18/B18)</f>
        <v>0</v>
      </c>
    </row>
    <row r="19" spans="1:6" x14ac:dyDescent="0.2">
      <c r="A19" s="58" t="s">
        <v>170</v>
      </c>
      <c r="B19" s="89"/>
      <c r="C19" s="89"/>
      <c r="D19" s="11" t="s">
        <v>0</v>
      </c>
      <c r="E19" s="51"/>
    </row>
    <row r="20" spans="1:6" x14ac:dyDescent="0.2">
      <c r="A20" s="58" t="s">
        <v>388</v>
      </c>
      <c r="B20" s="125">
        <f>103*167</f>
        <v>17201</v>
      </c>
      <c r="C20" s="125">
        <f>103*167</f>
        <v>17201</v>
      </c>
      <c r="D20" s="155">
        <f>C20-B20</f>
        <v>0</v>
      </c>
      <c r="E20" s="139">
        <f>(D20/B20)</f>
        <v>0</v>
      </c>
      <c r="F20" s="116"/>
    </row>
    <row r="21" spans="1:6" x14ac:dyDescent="0.2">
      <c r="A21" s="6"/>
      <c r="B21" s="88">
        <f>SUM(B18:B20)</f>
        <v>23201</v>
      </c>
      <c r="C21" s="88">
        <f>SUM(C18:C20)</f>
        <v>23201</v>
      </c>
      <c r="D21" s="88">
        <f>SUM(D18:D20)</f>
        <v>0</v>
      </c>
      <c r="E21" s="51">
        <f>(D21/B21)</f>
        <v>0</v>
      </c>
    </row>
    <row r="22" spans="1:6" x14ac:dyDescent="0.2">
      <c r="A22" s="6"/>
      <c r="B22" s="88"/>
      <c r="C22" s="88"/>
      <c r="D22" s="11"/>
      <c r="E22" s="51" t="s">
        <v>0</v>
      </c>
    </row>
    <row r="23" spans="1:6" x14ac:dyDescent="0.2">
      <c r="A23" s="6" t="s">
        <v>108</v>
      </c>
      <c r="B23" s="88">
        <v>750</v>
      </c>
      <c r="C23" s="88">
        <v>750</v>
      </c>
      <c r="D23" s="11">
        <f>C23-B23</f>
        <v>0</v>
      </c>
      <c r="E23" s="51">
        <f>(D23/B23)</f>
        <v>0</v>
      </c>
    </row>
    <row r="24" spans="1:6" x14ac:dyDescent="0.2">
      <c r="A24" s="6"/>
      <c r="B24" s="88"/>
      <c r="C24" s="88"/>
      <c r="D24" s="11"/>
      <c r="E24" s="51"/>
    </row>
    <row r="25" spans="1:6" x14ac:dyDescent="0.2">
      <c r="A25" s="58" t="s">
        <v>169</v>
      </c>
      <c r="B25" s="88">
        <v>3500</v>
      </c>
      <c r="C25" s="88">
        <v>3500</v>
      </c>
      <c r="D25" s="11">
        <f>C25-B25</f>
        <v>0</v>
      </c>
      <c r="E25" s="51">
        <f>(D25/B25)</f>
        <v>0</v>
      </c>
    </row>
    <row r="26" spans="1:6" x14ac:dyDescent="0.2">
      <c r="A26" s="6"/>
      <c r="B26" s="88"/>
      <c r="C26" s="88"/>
      <c r="D26" s="11"/>
      <c r="E26" s="51" t="s">
        <v>0</v>
      </c>
    </row>
    <row r="27" spans="1:6" x14ac:dyDescent="0.2">
      <c r="A27" s="58" t="s">
        <v>355</v>
      </c>
      <c r="B27" s="88"/>
      <c r="C27" s="88"/>
      <c r="D27" s="11"/>
      <c r="E27" s="51" t="s">
        <v>0</v>
      </c>
    </row>
    <row r="28" spans="1:6" x14ac:dyDescent="0.2">
      <c r="A28" s="6" t="s">
        <v>477</v>
      </c>
      <c r="B28" s="288">
        <v>1400</v>
      </c>
      <c r="C28" s="108">
        <f>2*265+500</f>
        <v>1030</v>
      </c>
      <c r="D28" s="11">
        <f>C28-B28</f>
        <v>-370</v>
      </c>
      <c r="E28" s="51">
        <f>(D28/B28)</f>
        <v>-0.26428571428571429</v>
      </c>
    </row>
    <row r="29" spans="1:6" x14ac:dyDescent="0.2">
      <c r="A29" s="58" t="s">
        <v>238</v>
      </c>
      <c r="B29" s="88">
        <v>250</v>
      </c>
      <c r="C29" s="88">
        <v>250</v>
      </c>
      <c r="D29" s="11">
        <f>C29-B29</f>
        <v>0</v>
      </c>
      <c r="E29" s="51">
        <f>(D29/B29)</f>
        <v>0</v>
      </c>
    </row>
    <row r="30" spans="1:6" x14ac:dyDescent="0.2">
      <c r="A30" s="58" t="s">
        <v>124</v>
      </c>
      <c r="B30" s="125">
        <v>100</v>
      </c>
      <c r="C30" s="125">
        <v>100</v>
      </c>
      <c r="D30" s="155">
        <f>C30-B30</f>
        <v>0</v>
      </c>
      <c r="E30" s="139">
        <f>(D30/B30)</f>
        <v>0</v>
      </c>
    </row>
    <row r="31" spans="1:6" x14ac:dyDescent="0.2">
      <c r="A31" s="6"/>
      <c r="B31" s="88">
        <f>SUM(B28:B30)</f>
        <v>1750</v>
      </c>
      <c r="C31" s="88">
        <f>SUM(C28:C30)</f>
        <v>1380</v>
      </c>
      <c r="D31" s="88">
        <f>SUM(D28:D30)</f>
        <v>-370</v>
      </c>
      <c r="E31" s="51">
        <f>(D31/B31)</f>
        <v>-0.21142857142857144</v>
      </c>
    </row>
    <row r="32" spans="1:6" x14ac:dyDescent="0.2">
      <c r="A32" s="194" t="s">
        <v>186</v>
      </c>
      <c r="B32" s="88"/>
      <c r="C32" s="88"/>
      <c r="D32" s="11"/>
      <c r="E32" s="51"/>
    </row>
    <row r="33" spans="1:5" x14ac:dyDescent="0.2">
      <c r="A33" s="58"/>
      <c r="B33" s="108"/>
      <c r="C33" s="108"/>
      <c r="D33" s="11"/>
      <c r="E33" s="51"/>
    </row>
    <row r="34" spans="1:5" x14ac:dyDescent="0.2">
      <c r="A34" s="2"/>
      <c r="B34" s="75"/>
      <c r="C34" s="75"/>
      <c r="D34" s="11"/>
      <c r="E34" s="51"/>
    </row>
    <row r="35" spans="1:5" x14ac:dyDescent="0.2">
      <c r="A35" s="2"/>
      <c r="B35" s="75"/>
      <c r="C35" s="75"/>
      <c r="D35" s="11"/>
      <c r="E35" s="6"/>
    </row>
    <row r="36" spans="1:5" ht="15" x14ac:dyDescent="0.25">
      <c r="A36" s="77" t="s">
        <v>64</v>
      </c>
      <c r="B36" s="203">
        <f>SUM(B33+B31+B25+B23+B21+B15)</f>
        <v>63381</v>
      </c>
      <c r="C36" s="203">
        <f>SUM(+C31+C25+C23+C21+C15)</f>
        <v>67931</v>
      </c>
      <c r="D36" s="203">
        <f>SUM(D33+D31+D25+D23+D21+D15)</f>
        <v>4550</v>
      </c>
      <c r="E36" s="173">
        <f>(D36/B36)</f>
        <v>7.1788075290702261E-2</v>
      </c>
    </row>
    <row r="37" spans="1:5" x14ac:dyDescent="0.2">
      <c r="A37" s="146"/>
      <c r="B37" s="161"/>
      <c r="C37" s="161"/>
      <c r="D37" s="161"/>
      <c r="E37" s="149"/>
    </row>
  </sheetData>
  <phoneticPr fontId="0" type="noConversion"/>
  <pageMargins left="1" right="0.5" top="0.75" bottom="0.25" header="0.5" footer="0.5"/>
  <pageSetup orientation="portrait" horizontalDpi="300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23"/>
  <dimension ref="A1:K55"/>
  <sheetViews>
    <sheetView showGridLines="0" topLeftCell="A17" zoomScaleNormal="100" workbookViewId="0">
      <selection activeCell="G8" sqref="G1:G1048576"/>
    </sheetView>
  </sheetViews>
  <sheetFormatPr defaultColWidth="8.7109375" defaultRowHeight="12.75" x14ac:dyDescent="0.2"/>
  <cols>
    <col min="1" max="1" width="44.7109375" bestFit="1" customWidth="1"/>
    <col min="2" max="2" width="10.7109375" customWidth="1"/>
    <col min="3" max="3" width="11.28515625" bestFit="1" customWidth="1"/>
    <col min="4" max="4" width="10.28515625" bestFit="1" customWidth="1"/>
    <col min="5" max="5" width="9.28515625" bestFit="1" customWidth="1"/>
  </cols>
  <sheetData>
    <row r="1" spans="1:5" ht="15.75" x14ac:dyDescent="0.25">
      <c r="A1" s="3" t="str">
        <f>'Ann Sess'!A1</f>
        <v>2026 Budget</v>
      </c>
      <c r="B1" s="3" t="s">
        <v>6</v>
      </c>
    </row>
    <row r="2" spans="1:5" ht="15.75" x14ac:dyDescent="0.25">
      <c r="A2" s="359" t="str">
        <f>'Ann Sess'!A2</f>
        <v>1st Draft</v>
      </c>
      <c r="B2" s="3"/>
    </row>
    <row r="3" spans="1:5" ht="15.75" x14ac:dyDescent="0.25">
      <c r="A3" s="100"/>
      <c r="B3" s="3" t="s">
        <v>7</v>
      </c>
    </row>
    <row r="4" spans="1:5" x14ac:dyDescent="0.2">
      <c r="D4" s="7" t="s">
        <v>0</v>
      </c>
    </row>
    <row r="5" spans="1:5" ht="15" x14ac:dyDescent="0.25">
      <c r="A5" s="63" t="s">
        <v>26</v>
      </c>
      <c r="B5" s="63">
        <f>'Ann Sess'!B5</f>
        <v>2025</v>
      </c>
      <c r="C5" s="63">
        <f>'Ann Sess'!C5</f>
        <v>2026</v>
      </c>
      <c r="D5" s="4" t="s">
        <v>44</v>
      </c>
      <c r="E5" s="55" t="s">
        <v>44</v>
      </c>
    </row>
    <row r="6" spans="1:5" ht="15" x14ac:dyDescent="0.25">
      <c r="A6" s="46" t="s">
        <v>41</v>
      </c>
      <c r="B6" s="46" t="s">
        <v>43</v>
      </c>
      <c r="C6" s="46" t="s">
        <v>120</v>
      </c>
      <c r="D6" s="5" t="s">
        <v>45</v>
      </c>
      <c r="E6" s="56" t="s">
        <v>46</v>
      </c>
    </row>
    <row r="7" spans="1:5" x14ac:dyDescent="0.2">
      <c r="A7" s="163" t="s">
        <v>67</v>
      </c>
      <c r="B7" s="204">
        <f>Board!B36</f>
        <v>63381</v>
      </c>
      <c r="C7" s="204">
        <f>Board!C36</f>
        <v>67931</v>
      </c>
      <c r="D7" s="205">
        <f>Board!D36</f>
        <v>4550</v>
      </c>
      <c r="E7" s="103">
        <f>(D7/B7)</f>
        <v>7.1788075290702261E-2</v>
      </c>
    </row>
    <row r="8" spans="1:5" ht="15" x14ac:dyDescent="0.25">
      <c r="A8" s="163"/>
      <c r="B8" s="206"/>
      <c r="C8" s="206"/>
      <c r="D8" s="207"/>
      <c r="E8" s="104"/>
    </row>
    <row r="9" spans="1:5" ht="15" x14ac:dyDescent="0.25">
      <c r="A9" s="208" t="s">
        <v>66</v>
      </c>
      <c r="B9" s="206"/>
      <c r="C9" s="206"/>
      <c r="D9" s="207"/>
      <c r="E9" s="104"/>
    </row>
    <row r="10" spans="1:5" x14ac:dyDescent="0.2">
      <c r="A10" s="58" t="s">
        <v>293</v>
      </c>
      <c r="B10" s="90"/>
      <c r="C10" s="90"/>
      <c r="D10" s="11"/>
      <c r="E10" s="51"/>
    </row>
    <row r="11" spans="1:5" x14ac:dyDescent="0.2">
      <c r="A11" s="58" t="s">
        <v>309</v>
      </c>
      <c r="B11" s="88">
        <v>2800</v>
      </c>
      <c r="C11" s="88">
        <f>4*275*2</f>
        <v>2200</v>
      </c>
      <c r="D11" s="11">
        <f>C11-B11</f>
        <v>-600</v>
      </c>
      <c r="E11" s="51">
        <f>(D11/B11)</f>
        <v>-0.21428571428571427</v>
      </c>
    </row>
    <row r="12" spans="1:5" x14ac:dyDescent="0.2">
      <c r="A12" s="58" t="s">
        <v>461</v>
      </c>
      <c r="B12" s="88">
        <v>700</v>
      </c>
      <c r="C12" s="88">
        <f>4*250</f>
        <v>1000</v>
      </c>
      <c r="D12" s="11">
        <f>C12-B12</f>
        <v>300</v>
      </c>
      <c r="E12" s="51">
        <f>(D12/B12)</f>
        <v>0.42857142857142855</v>
      </c>
    </row>
    <row r="13" spans="1:5" ht="11.25" customHeight="1" x14ac:dyDescent="0.2">
      <c r="A13" s="58" t="s">
        <v>290</v>
      </c>
      <c r="B13" s="108">
        <v>2000</v>
      </c>
      <c r="C13" s="108">
        <v>2000</v>
      </c>
      <c r="D13" s="29">
        <f>C13-B13</f>
        <v>0</v>
      </c>
      <c r="E13" s="51">
        <f>(D13/B13)</f>
        <v>0</v>
      </c>
    </row>
    <row r="14" spans="1:5" x14ac:dyDescent="0.2">
      <c r="A14" s="58" t="s">
        <v>310</v>
      </c>
      <c r="B14" s="125">
        <v>1000</v>
      </c>
      <c r="C14" s="125">
        <v>2000</v>
      </c>
      <c r="D14" s="155">
        <f>C14-B14</f>
        <v>1000</v>
      </c>
      <c r="E14" s="139">
        <f>(D14/B14)</f>
        <v>1</v>
      </c>
    </row>
    <row r="15" spans="1:5" x14ac:dyDescent="0.2">
      <c r="A15" s="6"/>
      <c r="B15" s="88">
        <f>SUM(B11:B14)</f>
        <v>6500</v>
      </c>
      <c r="C15" s="88">
        <f>SUM(C11:C14)</f>
        <v>7200</v>
      </c>
      <c r="D15" s="88">
        <f>SUM(D11:D14)</f>
        <v>700</v>
      </c>
      <c r="E15" s="51">
        <f>(D15/B15)</f>
        <v>0.1076923076923077</v>
      </c>
    </row>
    <row r="16" spans="1:5" x14ac:dyDescent="0.2">
      <c r="A16" s="6"/>
      <c r="B16" s="88"/>
      <c r="C16" s="88"/>
      <c r="D16" s="13"/>
      <c r="E16" s="80"/>
    </row>
    <row r="17" spans="1:5" x14ac:dyDescent="0.2">
      <c r="A17" s="58" t="s">
        <v>285</v>
      </c>
      <c r="B17" s="88">
        <v>1000</v>
      </c>
      <c r="C17" s="88">
        <v>1500</v>
      </c>
      <c r="D17" s="13">
        <f>C17-B17</f>
        <v>500</v>
      </c>
      <c r="E17" s="80">
        <f>(D17/B17)</f>
        <v>0.5</v>
      </c>
    </row>
    <row r="18" spans="1:5" x14ac:dyDescent="0.2">
      <c r="A18" s="151" t="s">
        <v>286</v>
      </c>
      <c r="B18" s="318">
        <v>2500</v>
      </c>
      <c r="C18" s="318">
        <v>3600</v>
      </c>
      <c r="D18" s="138">
        <f>C18-B18</f>
        <v>1100</v>
      </c>
      <c r="E18" s="154">
        <f>(D18/B18)</f>
        <v>0.44</v>
      </c>
    </row>
    <row r="19" spans="1:5" x14ac:dyDescent="0.2">
      <c r="A19" s="151"/>
      <c r="B19" s="88"/>
      <c r="C19" s="88"/>
      <c r="D19" s="13"/>
      <c r="E19" s="80"/>
    </row>
    <row r="20" spans="1:5" x14ac:dyDescent="0.2">
      <c r="A20" s="151" t="s">
        <v>512</v>
      </c>
      <c r="B20" s="88"/>
      <c r="C20" s="88"/>
      <c r="D20" s="12"/>
      <c r="E20" s="80"/>
    </row>
    <row r="21" spans="1:5" x14ac:dyDescent="0.2">
      <c r="A21" s="151" t="s">
        <v>516</v>
      </c>
      <c r="B21" s="88">
        <v>0</v>
      </c>
      <c r="C21" s="88">
        <f>195*30</f>
        <v>5850</v>
      </c>
      <c r="D21" s="138">
        <f>C21-B21</f>
        <v>5850</v>
      </c>
      <c r="E21" s="51">
        <v>0</v>
      </c>
    </row>
    <row r="22" spans="1:5" x14ac:dyDescent="0.2">
      <c r="A22" s="151" t="s">
        <v>321</v>
      </c>
      <c r="B22" s="99">
        <v>0</v>
      </c>
      <c r="C22" s="99">
        <v>28500</v>
      </c>
      <c r="D22" s="29">
        <f>C22-B22</f>
        <v>28500</v>
      </c>
      <c r="E22" s="51">
        <v>0</v>
      </c>
    </row>
    <row r="23" spans="1:5" x14ac:dyDescent="0.2">
      <c r="A23" s="163" t="s">
        <v>208</v>
      </c>
      <c r="B23" s="319">
        <f>SUM(B18+B17+B15+B7+B21+B22)</f>
        <v>73381</v>
      </c>
      <c r="C23" s="319">
        <f>SUM(C18+C17+C15+C7+C21+C22)</f>
        <v>114581</v>
      </c>
      <c r="D23" s="319">
        <f>SUM(D18+D17+D15+D7+D21+D22)</f>
        <v>41200</v>
      </c>
      <c r="E23" s="234">
        <f>(D23/B23)</f>
        <v>0.56145323721399276</v>
      </c>
    </row>
    <row r="24" spans="1:5" ht="15" x14ac:dyDescent="0.35">
      <c r="A24" s="6"/>
      <c r="B24" s="69"/>
      <c r="C24" s="69"/>
      <c r="D24" s="76"/>
      <c r="E24" s="51"/>
    </row>
    <row r="25" spans="1:5" ht="15" x14ac:dyDescent="0.35">
      <c r="A25" s="144" t="s">
        <v>11</v>
      </c>
      <c r="B25" s="69"/>
      <c r="C25" s="69"/>
      <c r="D25" s="76"/>
      <c r="E25" s="51"/>
    </row>
    <row r="26" spans="1:5" ht="12.75" customHeight="1" x14ac:dyDescent="0.2">
      <c r="A26" s="6" t="s">
        <v>524</v>
      </c>
      <c r="B26" s="108">
        <v>12420</v>
      </c>
      <c r="C26" s="108">
        <f>4*24*135</f>
        <v>12960</v>
      </c>
      <c r="D26" s="11">
        <f>C26-B26</f>
        <v>540</v>
      </c>
      <c r="E26" s="51">
        <f>(D26/B26)</f>
        <v>4.3478260869565216E-2</v>
      </c>
    </row>
    <row r="27" spans="1:5" ht="12.75" customHeight="1" x14ac:dyDescent="0.2">
      <c r="A27" s="58" t="s">
        <v>466</v>
      </c>
      <c r="B27" s="108">
        <v>3240</v>
      </c>
      <c r="C27" s="108">
        <f>8*3*135</f>
        <v>3240</v>
      </c>
      <c r="D27" s="11">
        <f>C27-B27</f>
        <v>0</v>
      </c>
      <c r="E27" s="51">
        <f>(D27/B27)</f>
        <v>0</v>
      </c>
    </row>
    <row r="28" spans="1:5" ht="15" x14ac:dyDescent="0.35">
      <c r="A28" s="6" t="s">
        <v>457</v>
      </c>
      <c r="B28" s="108"/>
      <c r="C28" s="108"/>
      <c r="D28" s="76"/>
      <c r="E28" s="51"/>
    </row>
    <row r="29" spans="1:5" ht="12.75" customHeight="1" x14ac:dyDescent="0.2">
      <c r="A29" s="58" t="s">
        <v>171</v>
      </c>
      <c r="B29" s="108">
        <v>10935</v>
      </c>
      <c r="C29" s="108">
        <f>(3*4*135)+(3*24*135)</f>
        <v>11340</v>
      </c>
      <c r="D29" s="11">
        <f t="shared" ref="D29:D37" si="0">C29-B29</f>
        <v>405</v>
      </c>
      <c r="E29" s="51">
        <f t="shared" ref="E29:E35" si="1">(D29/B29)</f>
        <v>3.7037037037037035E-2</v>
      </c>
    </row>
    <row r="30" spans="1:5" ht="12.75" customHeight="1" x14ac:dyDescent="0.2">
      <c r="A30" s="6" t="s">
        <v>237</v>
      </c>
      <c r="B30" s="108">
        <v>945</v>
      </c>
      <c r="C30" s="108">
        <f>7*135</f>
        <v>945</v>
      </c>
      <c r="D30" s="11">
        <f t="shared" si="0"/>
        <v>0</v>
      </c>
      <c r="E30" s="51">
        <f t="shared" si="1"/>
        <v>0</v>
      </c>
    </row>
    <row r="31" spans="1:5" x14ac:dyDescent="0.2">
      <c r="A31" s="6" t="s">
        <v>478</v>
      </c>
      <c r="B31" s="88">
        <v>1350</v>
      </c>
      <c r="C31" s="88">
        <f>10*135</f>
        <v>1350</v>
      </c>
      <c r="D31" s="11">
        <f t="shared" si="0"/>
        <v>0</v>
      </c>
      <c r="E31" s="51">
        <f t="shared" si="1"/>
        <v>0</v>
      </c>
    </row>
    <row r="32" spans="1:5" x14ac:dyDescent="0.2">
      <c r="A32" s="6" t="s">
        <v>216</v>
      </c>
      <c r="B32" s="88">
        <v>270</v>
      </c>
      <c r="C32" s="88">
        <f>1*2*135</f>
        <v>270</v>
      </c>
      <c r="D32" s="11">
        <f t="shared" si="0"/>
        <v>0</v>
      </c>
      <c r="E32" s="51">
        <f t="shared" si="1"/>
        <v>0</v>
      </c>
    </row>
    <row r="33" spans="1:6" x14ac:dyDescent="0.2">
      <c r="A33" s="58" t="s">
        <v>376</v>
      </c>
      <c r="B33" s="88">
        <v>675</v>
      </c>
      <c r="C33" s="88">
        <f>135*5</f>
        <v>675</v>
      </c>
      <c r="D33" s="11">
        <f t="shared" si="0"/>
        <v>0</v>
      </c>
      <c r="E33" s="51">
        <f t="shared" si="1"/>
        <v>0</v>
      </c>
    </row>
    <row r="34" spans="1:6" x14ac:dyDescent="0.2">
      <c r="A34" s="58" t="s">
        <v>311</v>
      </c>
      <c r="B34" s="88">
        <v>1620</v>
      </c>
      <c r="C34" s="88">
        <f>4*3*135</f>
        <v>1620</v>
      </c>
      <c r="D34" s="11">
        <f t="shared" si="0"/>
        <v>0</v>
      </c>
      <c r="E34" s="51">
        <f t="shared" si="1"/>
        <v>0</v>
      </c>
      <c r="F34" s="38"/>
    </row>
    <row r="35" spans="1:6" x14ac:dyDescent="0.2">
      <c r="A35" s="58" t="s">
        <v>292</v>
      </c>
      <c r="B35" s="88">
        <v>750</v>
      </c>
      <c r="C35" s="88">
        <v>750</v>
      </c>
      <c r="D35" s="11">
        <f t="shared" si="0"/>
        <v>0</v>
      </c>
      <c r="E35" s="51">
        <f t="shared" si="1"/>
        <v>0</v>
      </c>
    </row>
    <row r="36" spans="1:6" x14ac:dyDescent="0.2">
      <c r="A36" s="151" t="s">
        <v>291</v>
      </c>
      <c r="B36" s="318">
        <v>1000</v>
      </c>
      <c r="C36" s="318">
        <v>1000</v>
      </c>
      <c r="D36" s="152">
        <f>C36-B36</f>
        <v>0</v>
      </c>
      <c r="E36" s="154">
        <f>(D36/B36)</f>
        <v>0</v>
      </c>
    </row>
    <row r="37" spans="1:6" x14ac:dyDescent="0.2">
      <c r="A37" s="151" t="s">
        <v>528</v>
      </c>
      <c r="B37" s="125">
        <v>0</v>
      </c>
      <c r="C37" s="286">
        <f>28*135</f>
        <v>3780</v>
      </c>
      <c r="D37" s="180">
        <f t="shared" si="0"/>
        <v>3780</v>
      </c>
      <c r="E37" s="139">
        <v>0</v>
      </c>
    </row>
    <row r="38" spans="1:6" x14ac:dyDescent="0.2">
      <c r="A38" s="6"/>
      <c r="B38" s="88">
        <f>SUM(B26:B37)</f>
        <v>33205</v>
      </c>
      <c r="C38" s="88">
        <f>SUM(C26:C37)</f>
        <v>37930</v>
      </c>
      <c r="D38" s="88">
        <f>SUM(D26:D37)</f>
        <v>4725</v>
      </c>
      <c r="E38" s="51">
        <f>(D38/B38)</f>
        <v>0.14229784670983286</v>
      </c>
    </row>
    <row r="39" spans="1:6" x14ac:dyDescent="0.2">
      <c r="A39" s="144" t="s">
        <v>30</v>
      </c>
      <c r="B39" s="88"/>
      <c r="C39" s="88"/>
      <c r="D39" s="11"/>
      <c r="E39" s="51"/>
    </row>
    <row r="40" spans="1:6" x14ac:dyDescent="0.2">
      <c r="A40" s="6" t="s">
        <v>476</v>
      </c>
      <c r="B40" s="125">
        <v>2000</v>
      </c>
      <c r="C40" s="125">
        <v>2000</v>
      </c>
      <c r="D40" s="155">
        <f>C40-B40</f>
        <v>0</v>
      </c>
      <c r="E40" s="139">
        <f>(D40/B40)</f>
        <v>0</v>
      </c>
    </row>
    <row r="41" spans="1:6" x14ac:dyDescent="0.2">
      <c r="A41" s="6"/>
      <c r="B41" s="88">
        <f>SUM(B40:B40)</f>
        <v>2000</v>
      </c>
      <c r="C41" s="88">
        <f>SUM(C40:C40)</f>
        <v>2000</v>
      </c>
      <c r="D41" s="88">
        <f>SUM(D40:D40)</f>
        <v>0</v>
      </c>
      <c r="E41" s="51">
        <f>(D41/B41)</f>
        <v>0</v>
      </c>
    </row>
    <row r="42" spans="1:6" x14ac:dyDescent="0.2">
      <c r="A42" s="144" t="s">
        <v>13</v>
      </c>
      <c r="B42" s="88"/>
      <c r="C42" s="88"/>
      <c r="D42" s="11"/>
      <c r="E42" s="51"/>
    </row>
    <row r="43" spans="1:6" x14ac:dyDescent="0.2">
      <c r="A43" s="58" t="s">
        <v>172</v>
      </c>
      <c r="B43" s="108">
        <v>1200</v>
      </c>
      <c r="C43" s="108">
        <v>2200</v>
      </c>
      <c r="D43" s="29">
        <f>C43-B43</f>
        <v>1000</v>
      </c>
      <c r="E43" s="51">
        <f>(D43/B43)</f>
        <v>0.83333333333333337</v>
      </c>
    </row>
    <row r="44" spans="1:6" x14ac:dyDescent="0.2">
      <c r="A44" s="58" t="s">
        <v>362</v>
      </c>
      <c r="B44" s="81"/>
      <c r="C44" s="81"/>
      <c r="D44" s="11"/>
      <c r="E44" s="51"/>
    </row>
    <row r="45" spans="1:6" x14ac:dyDescent="0.2">
      <c r="A45" s="58" t="s">
        <v>363</v>
      </c>
      <c r="B45" s="81">
        <f>1*2*300</f>
        <v>600</v>
      </c>
      <c r="C45" s="81">
        <f>1*2*300</f>
        <v>600</v>
      </c>
      <c r="D45" s="11">
        <f>C45-B45</f>
        <v>0</v>
      </c>
      <c r="E45" s="51">
        <f t="shared" ref="E45:E51" si="2">(D45/B45)</f>
        <v>0</v>
      </c>
    </row>
    <row r="46" spans="1:6" x14ac:dyDescent="0.2">
      <c r="A46" s="291" t="s">
        <v>301</v>
      </c>
      <c r="B46" s="81">
        <v>50</v>
      </c>
      <c r="C46" s="81">
        <v>400</v>
      </c>
      <c r="D46" s="11">
        <f>C46-B46</f>
        <v>350</v>
      </c>
      <c r="E46" s="51">
        <f t="shared" si="2"/>
        <v>7</v>
      </c>
    </row>
    <row r="47" spans="1:6" x14ac:dyDescent="0.2">
      <c r="A47" s="6" t="s">
        <v>115</v>
      </c>
      <c r="B47" s="81">
        <v>300</v>
      </c>
      <c r="C47" s="81">
        <v>300</v>
      </c>
      <c r="D47" s="11">
        <f>C47-B47</f>
        <v>0</v>
      </c>
      <c r="E47" s="51">
        <f t="shared" si="2"/>
        <v>0</v>
      </c>
    </row>
    <row r="48" spans="1:6" x14ac:dyDescent="0.2">
      <c r="A48" s="58" t="s">
        <v>294</v>
      </c>
      <c r="B48" s="81">
        <f>1*400</f>
        <v>400</v>
      </c>
      <c r="C48" s="81">
        <f>1*400</f>
        <v>400</v>
      </c>
      <c r="D48" s="11">
        <f>C48-B48</f>
        <v>0</v>
      </c>
      <c r="E48" s="51">
        <f t="shared" si="2"/>
        <v>0</v>
      </c>
    </row>
    <row r="49" spans="1:11" x14ac:dyDescent="0.2">
      <c r="A49" s="151" t="s">
        <v>513</v>
      </c>
      <c r="B49" s="65"/>
      <c r="C49" s="65"/>
      <c r="D49" s="11"/>
      <c r="E49" s="51" t="e">
        <f t="shared" si="2"/>
        <v>#DIV/0!</v>
      </c>
      <c r="G49" s="38"/>
      <c r="H49" s="38"/>
      <c r="I49" s="30"/>
      <c r="J49" s="60"/>
      <c r="K49" s="60"/>
    </row>
    <row r="50" spans="1:11" x14ac:dyDescent="0.2">
      <c r="A50" s="151" t="s">
        <v>377</v>
      </c>
      <c r="B50" s="65">
        <v>0</v>
      </c>
      <c r="C50" s="65">
        <f>7*195</f>
        <v>1365</v>
      </c>
      <c r="D50" s="11">
        <f>C50-B50</f>
        <v>1365</v>
      </c>
      <c r="E50" s="51" t="e">
        <f t="shared" si="2"/>
        <v>#DIV/0!</v>
      </c>
    </row>
    <row r="51" spans="1:11" x14ac:dyDescent="0.2">
      <c r="A51" s="151" t="s">
        <v>378</v>
      </c>
      <c r="B51" s="389"/>
      <c r="C51" s="389">
        <v>505</v>
      </c>
      <c r="D51" s="388">
        <f>C51-B51</f>
        <v>505</v>
      </c>
      <c r="E51" s="102" t="e">
        <f t="shared" si="2"/>
        <v>#DIV/0!</v>
      </c>
    </row>
    <row r="52" spans="1:11" x14ac:dyDescent="0.2">
      <c r="A52" s="151"/>
      <c r="B52" s="91">
        <f>SUM(B43:B51)</f>
        <v>2550</v>
      </c>
      <c r="C52" s="91">
        <f>SUM(C43:C51)</f>
        <v>5770</v>
      </c>
      <c r="D52" s="11">
        <f>C52-B52</f>
        <v>3220</v>
      </c>
      <c r="E52" s="51">
        <f>(D52/B52)</f>
        <v>1.2627450980392156</v>
      </c>
    </row>
    <row r="53" spans="1:11" x14ac:dyDescent="0.2">
      <c r="A53" s="2"/>
      <c r="B53" s="89"/>
      <c r="C53" s="89"/>
      <c r="D53" s="11"/>
      <c r="E53" s="51"/>
    </row>
    <row r="54" spans="1:11" ht="15" x14ac:dyDescent="0.25">
      <c r="A54" s="77" t="s">
        <v>64</v>
      </c>
      <c r="B54" s="203">
        <f>SUM(B52+B41+B38+B23)</f>
        <v>111136</v>
      </c>
      <c r="C54" s="203">
        <f>SUM(C52+C41+C38+C23)</f>
        <v>160281</v>
      </c>
      <c r="D54" s="203">
        <f>SUM(D43+D41+D38+D23)</f>
        <v>46925</v>
      </c>
      <c r="E54" s="173">
        <f>(D54/B54)</f>
        <v>0.42223042038583358</v>
      </c>
    </row>
    <row r="55" spans="1:11" x14ac:dyDescent="0.2">
      <c r="A55" s="146"/>
      <c r="B55" s="47"/>
      <c r="C55" s="47"/>
      <c r="D55" s="47"/>
      <c r="E55" s="149"/>
    </row>
  </sheetData>
  <phoneticPr fontId="0" type="noConversion"/>
  <pageMargins left="0.75" right="0.5" top="0.75" bottom="0.5" header="0.5" footer="0.5"/>
  <pageSetup orientation="portrait" horizontalDpi="300" verticalDpi="300" r:id="rId1"/>
  <headerFooter alignWithMargins="0"/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24"/>
  <dimension ref="A1:F67"/>
  <sheetViews>
    <sheetView showGridLines="0" topLeftCell="A14" zoomScale="120" zoomScaleNormal="120" workbookViewId="0">
      <selection activeCell="G19" sqref="G1:G1048576"/>
    </sheetView>
  </sheetViews>
  <sheetFormatPr defaultColWidth="8.7109375" defaultRowHeight="12.75" x14ac:dyDescent="0.2"/>
  <cols>
    <col min="1" max="1" width="38.42578125" bestFit="1" customWidth="1"/>
    <col min="2" max="2" width="10.7109375" customWidth="1"/>
    <col min="3" max="3" width="12.28515625" bestFit="1" customWidth="1"/>
    <col min="4" max="4" width="11.28515625" bestFit="1" customWidth="1"/>
    <col min="5" max="6" width="9.28515625" bestFit="1" customWidth="1"/>
  </cols>
  <sheetData>
    <row r="1" spans="1:6" ht="15.75" x14ac:dyDescent="0.25">
      <c r="A1" s="3" t="str">
        <f>'Ann Sess'!A1</f>
        <v>2026 Budget</v>
      </c>
      <c r="B1" s="3" t="s">
        <v>6</v>
      </c>
    </row>
    <row r="2" spans="1:6" ht="15.75" x14ac:dyDescent="0.25">
      <c r="A2" s="359" t="str">
        <f>'Ann Sess'!A2</f>
        <v>1st Draft</v>
      </c>
      <c r="B2" s="3"/>
    </row>
    <row r="3" spans="1:6" ht="15.75" x14ac:dyDescent="0.25">
      <c r="A3" s="100"/>
      <c r="B3" s="3" t="s">
        <v>7</v>
      </c>
    </row>
    <row r="4" spans="1:6" x14ac:dyDescent="0.2">
      <c r="D4" s="7" t="s">
        <v>0</v>
      </c>
    </row>
    <row r="5" spans="1:6" ht="15" x14ac:dyDescent="0.25">
      <c r="A5" s="63" t="s">
        <v>26</v>
      </c>
      <c r="B5" s="63">
        <f>'Ann Sess'!B5</f>
        <v>2025</v>
      </c>
      <c r="C5" s="63">
        <f>'Ann Sess'!C5</f>
        <v>2026</v>
      </c>
      <c r="D5" s="4" t="s">
        <v>44</v>
      </c>
      <c r="E5" s="55" t="s">
        <v>44</v>
      </c>
    </row>
    <row r="6" spans="1:6" ht="15" x14ac:dyDescent="0.25">
      <c r="A6" s="46" t="s">
        <v>41</v>
      </c>
      <c r="B6" s="46" t="s">
        <v>43</v>
      </c>
      <c r="C6" s="46" t="s">
        <v>120</v>
      </c>
      <c r="D6" s="5" t="s">
        <v>45</v>
      </c>
      <c r="E6" s="56" t="s">
        <v>46</v>
      </c>
    </row>
    <row r="7" spans="1:6" x14ac:dyDescent="0.2">
      <c r="A7" s="145" t="s">
        <v>67</v>
      </c>
      <c r="B7" s="78">
        <f>Board2!B54</f>
        <v>111136</v>
      </c>
      <c r="C7" s="78">
        <f>Board2!C54</f>
        <v>160281</v>
      </c>
      <c r="D7" s="78">
        <f>C7-B7</f>
        <v>49145</v>
      </c>
      <c r="E7" s="103">
        <f>(D7/B7)</f>
        <v>0.44220594586812556</v>
      </c>
    </row>
    <row r="8" spans="1:6" x14ac:dyDescent="0.2">
      <c r="A8" s="175"/>
      <c r="B8" s="27"/>
      <c r="C8" s="27"/>
      <c r="D8" s="11"/>
      <c r="E8" s="51"/>
    </row>
    <row r="9" spans="1:6" x14ac:dyDescent="0.2">
      <c r="A9" s="144" t="s">
        <v>28</v>
      </c>
      <c r="B9" s="13"/>
      <c r="C9" s="88"/>
      <c r="D9" s="11"/>
      <c r="E9" s="51"/>
    </row>
    <row r="10" spans="1:6" x14ac:dyDescent="0.2">
      <c r="A10" s="6" t="s">
        <v>323</v>
      </c>
      <c r="B10" s="229">
        <f>20000+10000+5000+5000+5000+(18*1000)+(500*3)</f>
        <v>64500</v>
      </c>
      <c r="C10" s="229">
        <f>20000+10000+5000+5000+5000+(18*1000)+(500*3)</f>
        <v>64500</v>
      </c>
      <c r="D10" s="11">
        <f t="shared" ref="D10:D15" si="0">C10-B10</f>
        <v>0</v>
      </c>
      <c r="E10" s="51">
        <f>(D10/B10)</f>
        <v>0</v>
      </c>
    </row>
    <row r="11" spans="1:6" x14ac:dyDescent="0.2">
      <c r="A11" s="2" t="s">
        <v>217</v>
      </c>
      <c r="B11" s="229">
        <v>500</v>
      </c>
      <c r="C11" s="229">
        <v>500</v>
      </c>
      <c r="D11" s="11">
        <f t="shared" si="0"/>
        <v>0</v>
      </c>
      <c r="E11" s="51">
        <f>(D11/B11)</f>
        <v>0</v>
      </c>
    </row>
    <row r="12" spans="1:6" x14ac:dyDescent="0.2">
      <c r="A12" s="2" t="s">
        <v>525</v>
      </c>
      <c r="B12" s="229">
        <v>1000</v>
      </c>
      <c r="C12" s="229">
        <v>1000</v>
      </c>
      <c r="D12" s="11">
        <f t="shared" si="0"/>
        <v>0</v>
      </c>
      <c r="E12" s="51">
        <f>(D12/B12)</f>
        <v>0</v>
      </c>
    </row>
    <row r="13" spans="1:6" x14ac:dyDescent="0.2">
      <c r="A13" s="2" t="s">
        <v>218</v>
      </c>
      <c r="B13" s="229">
        <v>1000</v>
      </c>
      <c r="C13" s="229">
        <v>1000</v>
      </c>
      <c r="D13" s="11">
        <f t="shared" si="0"/>
        <v>0</v>
      </c>
      <c r="E13" s="51">
        <f>(D13/B13)</f>
        <v>0</v>
      </c>
    </row>
    <row r="14" spans="1:6" x14ac:dyDescent="0.2">
      <c r="A14" s="151" t="s">
        <v>364</v>
      </c>
      <c r="B14" s="229">
        <v>6600</v>
      </c>
      <c r="C14" s="229">
        <v>6600</v>
      </c>
      <c r="D14" s="11">
        <f t="shared" si="0"/>
        <v>0</v>
      </c>
      <c r="E14" s="51">
        <v>0</v>
      </c>
      <c r="F14" s="75"/>
    </row>
    <row r="15" spans="1:6" x14ac:dyDescent="0.2">
      <c r="A15" s="6" t="s">
        <v>296</v>
      </c>
      <c r="B15" s="228">
        <v>500</v>
      </c>
      <c r="C15" s="228">
        <v>500</v>
      </c>
      <c r="D15" s="155">
        <f t="shared" si="0"/>
        <v>0</v>
      </c>
      <c r="E15" s="102">
        <f>(D15/B15)</f>
        <v>0</v>
      </c>
    </row>
    <row r="16" spans="1:6" x14ac:dyDescent="0.2">
      <c r="A16" s="6"/>
      <c r="B16" s="229">
        <f>SUM(B10:B15)</f>
        <v>74100</v>
      </c>
      <c r="C16" s="229">
        <f>SUM(C10:C15)</f>
        <v>74100</v>
      </c>
      <c r="D16" s="90">
        <f>SUM(D10:D15)</f>
        <v>0</v>
      </c>
      <c r="E16" s="51">
        <f>(D16/B16)</f>
        <v>0</v>
      </c>
    </row>
    <row r="17" spans="1:6" x14ac:dyDescent="0.2">
      <c r="A17" s="6"/>
      <c r="B17" s="229"/>
      <c r="C17" s="229"/>
      <c r="D17" s="11"/>
      <c r="E17" s="51" t="s">
        <v>0</v>
      </c>
    </row>
    <row r="18" spans="1:6" x14ac:dyDescent="0.2">
      <c r="A18" s="144" t="s">
        <v>219</v>
      </c>
      <c r="B18" s="229">
        <v>100</v>
      </c>
      <c r="C18" s="229">
        <v>100</v>
      </c>
      <c r="D18" s="11">
        <f>C18-B18</f>
        <v>0</v>
      </c>
      <c r="E18" s="51">
        <f>(D18/B18)</f>
        <v>0</v>
      </c>
    </row>
    <row r="19" spans="1:6" x14ac:dyDescent="0.2">
      <c r="A19" s="6"/>
      <c r="B19" s="81"/>
      <c r="C19" s="81"/>
      <c r="D19" s="11"/>
      <c r="E19" s="51"/>
      <c r="F19" s="35"/>
    </row>
    <row r="20" spans="1:6" x14ac:dyDescent="0.2">
      <c r="A20" s="208" t="s">
        <v>220</v>
      </c>
      <c r="B20" s="81">
        <v>150</v>
      </c>
      <c r="C20" s="81">
        <v>150</v>
      </c>
      <c r="D20" s="11">
        <f>C20-B20</f>
        <v>0</v>
      </c>
      <c r="E20" s="51">
        <f>(D20/B20)</f>
        <v>0</v>
      </c>
    </row>
    <row r="21" spans="1:6" x14ac:dyDescent="0.2">
      <c r="A21" s="208"/>
      <c r="B21" s="81"/>
      <c r="C21" s="81"/>
      <c r="D21" s="11"/>
      <c r="E21" s="51"/>
    </row>
    <row r="22" spans="1:6" x14ac:dyDescent="0.2">
      <c r="A22" s="208" t="s">
        <v>15</v>
      </c>
      <c r="B22" s="81"/>
      <c r="C22" s="81"/>
      <c r="D22" s="11"/>
      <c r="E22" s="51"/>
    </row>
    <row r="23" spans="1:6" x14ac:dyDescent="0.2">
      <c r="A23" s="225" t="s">
        <v>221</v>
      </c>
      <c r="B23" s="81">
        <v>250</v>
      </c>
      <c r="C23" s="81">
        <v>0</v>
      </c>
      <c r="D23" s="11">
        <f>C23-B23</f>
        <v>-250</v>
      </c>
      <c r="E23" s="51">
        <f>(D23/B23)</f>
        <v>-1</v>
      </c>
    </row>
    <row r="24" spans="1:6" x14ac:dyDescent="0.2">
      <c r="A24" s="225" t="s">
        <v>222</v>
      </c>
      <c r="B24" s="81">
        <v>750</v>
      </c>
      <c r="C24" s="81">
        <v>0</v>
      </c>
      <c r="D24" s="11">
        <f>C24-B24</f>
        <v>-750</v>
      </c>
      <c r="E24" s="51">
        <f>(D24/B24)</f>
        <v>-1</v>
      </c>
    </row>
    <row r="25" spans="1:6" x14ac:dyDescent="0.2">
      <c r="A25" s="225" t="s">
        <v>223</v>
      </c>
      <c r="B25" s="230">
        <v>2100</v>
      </c>
      <c r="C25" s="230">
        <v>1000</v>
      </c>
      <c r="D25" s="124">
        <f>C25-B25</f>
        <v>-1100</v>
      </c>
      <c r="E25" s="139">
        <f>(D25/B25)</f>
        <v>-0.52380952380952384</v>
      </c>
    </row>
    <row r="26" spans="1:6" x14ac:dyDescent="0.2">
      <c r="A26" s="6"/>
      <c r="B26" s="81">
        <f>SUM(B23:B25)</f>
        <v>3100</v>
      </c>
      <c r="C26" s="81">
        <f>SUM(C23:C25)</f>
        <v>1000</v>
      </c>
      <c r="D26" s="81">
        <f>SUM(D23:D25)</f>
        <v>-2100</v>
      </c>
      <c r="E26" s="51">
        <f>(D26/B26)</f>
        <v>-0.67741935483870963</v>
      </c>
    </row>
    <row r="27" spans="1:6" x14ac:dyDescent="0.2">
      <c r="A27" s="58"/>
      <c r="B27" s="81"/>
      <c r="C27" s="81"/>
      <c r="D27" s="11"/>
      <c r="E27" s="51"/>
    </row>
    <row r="28" spans="1:6" x14ac:dyDescent="0.2">
      <c r="A28" s="144" t="s">
        <v>23</v>
      </c>
      <c r="B28" s="81"/>
      <c r="C28" s="81"/>
      <c r="D28" s="11"/>
      <c r="E28" s="51"/>
    </row>
    <row r="29" spans="1:6" x14ac:dyDescent="0.2">
      <c r="A29" s="58" t="s">
        <v>109</v>
      </c>
      <c r="B29" s="81">
        <v>19000</v>
      </c>
      <c r="C29" s="81">
        <v>19500</v>
      </c>
      <c r="D29" s="11">
        <f>C29-B29</f>
        <v>500</v>
      </c>
      <c r="E29" s="51">
        <f>(D29/B29)</f>
        <v>2.6315789473684209E-2</v>
      </c>
    </row>
    <row r="30" spans="1:6" x14ac:dyDescent="0.2">
      <c r="A30" s="58" t="s">
        <v>110</v>
      </c>
      <c r="B30" s="81">
        <v>800</v>
      </c>
      <c r="C30" s="81">
        <v>1500</v>
      </c>
      <c r="D30" s="11">
        <f>C30-B30</f>
        <v>700</v>
      </c>
      <c r="E30" s="51">
        <f>(D30/B30)</f>
        <v>0.875</v>
      </c>
    </row>
    <row r="31" spans="1:6" x14ac:dyDescent="0.2">
      <c r="A31" s="58" t="s">
        <v>111</v>
      </c>
      <c r="B31" s="81">
        <v>2600</v>
      </c>
      <c r="C31" s="81">
        <v>2700</v>
      </c>
      <c r="D31" s="11">
        <f>C31-B31</f>
        <v>100</v>
      </c>
      <c r="E31" s="51">
        <f>(D31/B31)</f>
        <v>3.8461538461538464E-2</v>
      </c>
    </row>
    <row r="32" spans="1:6" x14ac:dyDescent="0.2">
      <c r="A32" s="58" t="s">
        <v>468</v>
      </c>
      <c r="B32" s="230">
        <v>5500</v>
      </c>
      <c r="C32" s="230">
        <v>5500</v>
      </c>
      <c r="D32" s="155">
        <f>C32-B32</f>
        <v>0</v>
      </c>
      <c r="E32" s="139">
        <f>(D32/B32)</f>
        <v>0</v>
      </c>
    </row>
    <row r="33" spans="1:6" x14ac:dyDescent="0.2">
      <c r="A33" s="6"/>
      <c r="B33" s="81">
        <f>SUM(B29:B32)</f>
        <v>27900</v>
      </c>
      <c r="C33" s="81">
        <f>SUM(C29:C32)</f>
        <v>29200</v>
      </c>
      <c r="D33" s="81">
        <f>SUM(D29:D32)</f>
        <v>1300</v>
      </c>
      <c r="E33" s="51">
        <f>(D33/B33)</f>
        <v>4.6594982078853049E-2</v>
      </c>
    </row>
    <row r="34" spans="1:6" x14ac:dyDescent="0.2">
      <c r="A34" s="6"/>
      <c r="B34" s="81"/>
      <c r="C34" s="81"/>
      <c r="D34" s="11"/>
      <c r="E34" s="51"/>
    </row>
    <row r="35" spans="1:6" x14ac:dyDescent="0.2">
      <c r="A35" s="144" t="s">
        <v>17</v>
      </c>
      <c r="B35" s="81"/>
      <c r="C35" s="81"/>
      <c r="D35" s="11"/>
      <c r="E35" s="51"/>
    </row>
    <row r="36" spans="1:6" x14ac:dyDescent="0.2">
      <c r="A36" s="226" t="s">
        <v>224</v>
      </c>
      <c r="B36" s="209">
        <v>1500</v>
      </c>
      <c r="C36" s="209">
        <v>1500</v>
      </c>
      <c r="D36" s="153">
        <f>C36-B36</f>
        <v>0</v>
      </c>
      <c r="E36" s="154">
        <f>(D36/B36)</f>
        <v>0</v>
      </c>
      <c r="F36" s="35"/>
    </row>
    <row r="37" spans="1:6" x14ac:dyDescent="0.2">
      <c r="A37" s="6"/>
      <c r="B37" s="81"/>
      <c r="C37" s="81"/>
      <c r="D37" s="11"/>
      <c r="E37" s="51"/>
    </row>
    <row r="38" spans="1:6" x14ac:dyDescent="0.2">
      <c r="A38" s="6"/>
      <c r="B38" s="81"/>
      <c r="C38" s="81"/>
      <c r="D38" s="11"/>
      <c r="E38" s="51"/>
    </row>
    <row r="39" spans="1:6" x14ac:dyDescent="0.2">
      <c r="A39" s="6"/>
      <c r="B39" s="81"/>
      <c r="C39" s="81"/>
      <c r="D39" s="11"/>
      <c r="E39" s="51"/>
    </row>
    <row r="40" spans="1:6" x14ac:dyDescent="0.2">
      <c r="A40" s="6"/>
      <c r="B40" s="81"/>
      <c r="C40" s="81"/>
      <c r="D40" s="11"/>
      <c r="E40" s="52"/>
    </row>
    <row r="41" spans="1:6" ht="15.75" thickBot="1" x14ac:dyDescent="0.3">
      <c r="A41" s="166" t="s">
        <v>22</v>
      </c>
      <c r="B41" s="214">
        <f>SUM(B36+B33+B26+B20+B18+B16+B7)</f>
        <v>217986</v>
      </c>
      <c r="C41" s="214">
        <f>SUM(C36+C33+C26+C20+C18+C16+C7)</f>
        <v>266331</v>
      </c>
      <c r="D41" s="224">
        <f>SUM(D36+D33+D26+D20+D18+D16+D7)</f>
        <v>48345</v>
      </c>
      <c r="E41" s="143">
        <f>(D41/B41)</f>
        <v>0.22178029781729103</v>
      </c>
    </row>
    <row r="42" spans="1:6" ht="13.5" thickTop="1" x14ac:dyDescent="0.2">
      <c r="A42" s="146"/>
      <c r="B42" s="47"/>
      <c r="C42" s="47"/>
      <c r="D42" s="161"/>
      <c r="E42" s="193"/>
    </row>
    <row r="43" spans="1:6" x14ac:dyDescent="0.2">
      <c r="B43" s="30"/>
      <c r="C43" s="30"/>
      <c r="D43" s="30"/>
      <c r="E43" s="60"/>
    </row>
    <row r="44" spans="1:6" x14ac:dyDescent="0.2">
      <c r="B44" s="30"/>
      <c r="C44" s="30"/>
      <c r="D44" s="30"/>
      <c r="E44" s="60"/>
    </row>
    <row r="45" spans="1:6" x14ac:dyDescent="0.2">
      <c r="B45" s="30"/>
      <c r="C45" s="30"/>
      <c r="D45" s="30"/>
      <c r="E45" s="60"/>
    </row>
    <row r="46" spans="1:6" ht="15" x14ac:dyDescent="0.35">
      <c r="B46" s="42"/>
      <c r="C46" s="30"/>
      <c r="D46" s="30"/>
      <c r="E46" s="60"/>
    </row>
    <row r="47" spans="1:6" x14ac:dyDescent="0.2">
      <c r="B47" s="30"/>
      <c r="C47" s="30"/>
      <c r="D47" s="30"/>
      <c r="E47" s="60"/>
    </row>
    <row r="48" spans="1:6" x14ac:dyDescent="0.2">
      <c r="B48" s="30"/>
      <c r="C48" s="30"/>
      <c r="D48" s="30"/>
      <c r="E48" s="60"/>
    </row>
    <row r="49" spans="2:5" x14ac:dyDescent="0.2">
      <c r="B49" s="30"/>
      <c r="C49" s="30"/>
      <c r="D49" s="30"/>
      <c r="E49" s="60"/>
    </row>
    <row r="50" spans="2:5" x14ac:dyDescent="0.2">
      <c r="B50" s="30"/>
      <c r="C50" s="30"/>
      <c r="D50" s="30"/>
      <c r="E50" s="60"/>
    </row>
    <row r="51" spans="2:5" x14ac:dyDescent="0.2">
      <c r="B51" s="30"/>
      <c r="C51" s="30"/>
      <c r="D51" s="30"/>
      <c r="E51" s="60"/>
    </row>
    <row r="52" spans="2:5" x14ac:dyDescent="0.2">
      <c r="B52" s="30"/>
      <c r="C52" s="30"/>
      <c r="D52" s="30"/>
      <c r="E52" s="60"/>
    </row>
    <row r="53" spans="2:5" ht="15" x14ac:dyDescent="0.35">
      <c r="B53" s="42"/>
      <c r="C53" s="30"/>
      <c r="D53" s="30"/>
      <c r="E53" s="60"/>
    </row>
    <row r="54" spans="2:5" x14ac:dyDescent="0.2">
      <c r="B54" s="30"/>
      <c r="C54" s="30"/>
      <c r="D54" s="30"/>
      <c r="E54" s="60"/>
    </row>
    <row r="56" spans="2:5" x14ac:dyDescent="0.2">
      <c r="B56" s="30"/>
      <c r="C56" s="30"/>
    </row>
    <row r="57" spans="2:5" x14ac:dyDescent="0.2">
      <c r="B57" s="30"/>
      <c r="C57" s="30"/>
    </row>
    <row r="58" spans="2:5" x14ac:dyDescent="0.2">
      <c r="B58" s="30"/>
      <c r="C58" s="30"/>
    </row>
    <row r="59" spans="2:5" x14ac:dyDescent="0.2">
      <c r="B59" s="30"/>
      <c r="C59" s="30"/>
    </row>
    <row r="60" spans="2:5" x14ac:dyDescent="0.2">
      <c r="B60" s="30"/>
      <c r="C60" s="30"/>
    </row>
    <row r="61" spans="2:5" x14ac:dyDescent="0.2">
      <c r="B61" s="30"/>
      <c r="C61" s="30"/>
    </row>
    <row r="62" spans="2:5" ht="15" x14ac:dyDescent="0.35">
      <c r="B62" s="42"/>
      <c r="C62" s="30"/>
    </row>
    <row r="63" spans="2:5" x14ac:dyDescent="0.2">
      <c r="B63" s="30"/>
      <c r="C63" s="30"/>
    </row>
    <row r="64" spans="2:5" ht="15" x14ac:dyDescent="0.35">
      <c r="B64" s="42"/>
      <c r="C64" s="30"/>
    </row>
    <row r="65" spans="2:3" x14ac:dyDescent="0.2">
      <c r="B65" s="30"/>
    </row>
    <row r="66" spans="2:3" ht="15" x14ac:dyDescent="0.35">
      <c r="B66" s="42"/>
      <c r="C66" s="30"/>
    </row>
    <row r="67" spans="2:3" x14ac:dyDescent="0.2">
      <c r="B67" s="30"/>
      <c r="C67" s="30"/>
    </row>
  </sheetData>
  <phoneticPr fontId="0" type="noConversion"/>
  <pageMargins left="1" right="0.5" top="1" bottom="1" header="0.5" footer="0.5"/>
  <pageSetup orientation="portrait" horizontalDpi="300" verticalDpi="30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26"/>
  <dimension ref="A1:F55"/>
  <sheetViews>
    <sheetView showGridLines="0" topLeftCell="A17" zoomScaleNormal="100" workbookViewId="0">
      <selection activeCell="G1" sqref="G1:G1048576"/>
    </sheetView>
  </sheetViews>
  <sheetFormatPr defaultColWidth="8.7109375" defaultRowHeight="12.75" x14ac:dyDescent="0.2"/>
  <cols>
    <col min="1" max="1" width="39.7109375" bestFit="1" customWidth="1"/>
    <col min="2" max="2" width="10.7109375" customWidth="1"/>
    <col min="3" max="3" width="10.7109375" bestFit="1" customWidth="1"/>
    <col min="4" max="4" width="9.7109375" bestFit="1" customWidth="1"/>
    <col min="5" max="5" width="9.28515625" bestFit="1" customWidth="1"/>
  </cols>
  <sheetData>
    <row r="1" spans="1:6" ht="15.75" x14ac:dyDescent="0.25">
      <c r="A1" s="3" t="str">
        <f>'Ann Sess'!A1</f>
        <v>2026 Budget</v>
      </c>
      <c r="B1" s="3" t="s">
        <v>209</v>
      </c>
    </row>
    <row r="2" spans="1:6" ht="15.75" x14ac:dyDescent="0.25">
      <c r="A2" s="359" t="str">
        <f>'Ann Sess'!A2</f>
        <v>1st Draft</v>
      </c>
      <c r="B2" s="3"/>
    </row>
    <row r="3" spans="1:6" ht="15.75" x14ac:dyDescent="0.25">
      <c r="A3" s="85"/>
      <c r="B3" s="3" t="s">
        <v>9</v>
      </c>
    </row>
    <row r="4" spans="1:6" x14ac:dyDescent="0.2">
      <c r="A4" t="s">
        <v>0</v>
      </c>
      <c r="D4" s="7" t="s">
        <v>0</v>
      </c>
    </row>
    <row r="5" spans="1:6" ht="15" x14ac:dyDescent="0.25">
      <c r="A5" s="63" t="s">
        <v>26</v>
      </c>
      <c r="B5" s="63">
        <f>'Ann Sess'!B5</f>
        <v>2025</v>
      </c>
      <c r="C5" s="63">
        <f>'Ann Sess'!C5</f>
        <v>2026</v>
      </c>
      <c r="D5" s="4" t="s">
        <v>44</v>
      </c>
      <c r="E5" s="55" t="s">
        <v>44</v>
      </c>
    </row>
    <row r="6" spans="1:6" ht="15" x14ac:dyDescent="0.25">
      <c r="A6" s="46" t="s">
        <v>41</v>
      </c>
      <c r="B6" s="46" t="s">
        <v>43</v>
      </c>
      <c r="C6" s="46" t="s">
        <v>120</v>
      </c>
      <c r="D6" s="5" t="s">
        <v>45</v>
      </c>
      <c r="E6" s="56" t="s">
        <v>46</v>
      </c>
    </row>
    <row r="7" spans="1:6" x14ac:dyDescent="0.2">
      <c r="A7" s="145"/>
      <c r="B7" s="2"/>
      <c r="C7" s="2"/>
      <c r="D7" s="2"/>
      <c r="E7" s="50"/>
    </row>
    <row r="8" spans="1:6" x14ac:dyDescent="0.2">
      <c r="A8" s="6"/>
      <c r="B8" s="65"/>
      <c r="C8" s="65"/>
      <c r="D8" s="2"/>
      <c r="E8" s="6"/>
    </row>
    <row r="9" spans="1:6" x14ac:dyDescent="0.2">
      <c r="A9" s="144" t="s">
        <v>227</v>
      </c>
      <c r="B9" s="377">
        <v>3000</v>
      </c>
      <c r="C9" s="377">
        <v>3000</v>
      </c>
      <c r="D9" s="11">
        <f>C9-B9</f>
        <v>0</v>
      </c>
      <c r="E9" s="51">
        <f>(D9/B9)</f>
        <v>0</v>
      </c>
    </row>
    <row r="10" spans="1:6" x14ac:dyDescent="0.2">
      <c r="A10" s="6" t="s">
        <v>0</v>
      </c>
      <c r="B10" s="81"/>
      <c r="C10" s="81"/>
      <c r="D10" s="11"/>
      <c r="E10" s="51"/>
    </row>
    <row r="11" spans="1:6" x14ac:dyDescent="0.2">
      <c r="A11" s="144" t="s">
        <v>13</v>
      </c>
      <c r="B11" s="81"/>
      <c r="C11" s="81"/>
      <c r="D11" s="11"/>
      <c r="E11" s="51"/>
    </row>
    <row r="12" spans="1:6" x14ac:dyDescent="0.2">
      <c r="A12" s="6" t="s">
        <v>113</v>
      </c>
      <c r="B12" s="81"/>
      <c r="C12" s="81"/>
      <c r="D12" s="11"/>
      <c r="E12" s="51"/>
    </row>
    <row r="13" spans="1:6" x14ac:dyDescent="0.2">
      <c r="A13" s="58" t="s">
        <v>473</v>
      </c>
      <c r="B13" s="81">
        <v>4200</v>
      </c>
      <c r="C13" s="81">
        <f>5*2*400</f>
        <v>4000</v>
      </c>
      <c r="D13" s="11">
        <f>C13-B13</f>
        <v>-200</v>
      </c>
      <c r="E13" s="51">
        <f>(D13/B13)</f>
        <v>-4.7619047619047616E-2</v>
      </c>
      <c r="F13" s="35"/>
    </row>
    <row r="14" spans="1:6" x14ac:dyDescent="0.2">
      <c r="A14" s="6" t="s">
        <v>114</v>
      </c>
      <c r="B14" s="81">
        <v>350</v>
      </c>
      <c r="C14" s="81">
        <v>350</v>
      </c>
      <c r="D14" s="11">
        <f>C14-B14</f>
        <v>0</v>
      </c>
      <c r="E14" s="51">
        <f>(D14/B14)</f>
        <v>0</v>
      </c>
    </row>
    <row r="15" spans="1:6" x14ac:dyDescent="0.2">
      <c r="A15" s="58" t="s">
        <v>462</v>
      </c>
      <c r="B15" s="81">
        <v>1020</v>
      </c>
      <c r="C15" s="81">
        <f>6*2*85</f>
        <v>1020</v>
      </c>
      <c r="D15" s="11">
        <f>C15-B15</f>
        <v>0</v>
      </c>
      <c r="E15" s="51">
        <f>(D15/B15)</f>
        <v>0</v>
      </c>
    </row>
    <row r="16" spans="1:6" x14ac:dyDescent="0.2">
      <c r="A16" s="58" t="s">
        <v>474</v>
      </c>
      <c r="B16" s="81">
        <v>2100</v>
      </c>
      <c r="C16" s="81">
        <f>5*500</f>
        <v>2500</v>
      </c>
      <c r="D16" s="11">
        <f>C16-B16</f>
        <v>400</v>
      </c>
      <c r="E16" s="51">
        <f>(D16/B16)</f>
        <v>0.19047619047619047</v>
      </c>
    </row>
    <row r="17" spans="1:5" x14ac:dyDescent="0.2">
      <c r="A17" s="6"/>
      <c r="B17" s="81"/>
      <c r="C17" s="81"/>
      <c r="D17" s="11"/>
      <c r="E17" s="51"/>
    </row>
    <row r="18" spans="1:5" x14ac:dyDescent="0.2">
      <c r="A18" s="58" t="s">
        <v>135</v>
      </c>
      <c r="B18" s="81"/>
      <c r="C18" s="81"/>
      <c r="D18" s="11"/>
      <c r="E18" s="51"/>
    </row>
    <row r="19" spans="1:5" x14ac:dyDescent="0.2">
      <c r="A19" s="6" t="s">
        <v>167</v>
      </c>
      <c r="B19" s="81">
        <v>480</v>
      </c>
      <c r="C19" s="81">
        <v>480</v>
      </c>
      <c r="D19" s="11">
        <f>C19-B19</f>
        <v>0</v>
      </c>
      <c r="E19" s="51">
        <f>(D19/B19)</f>
        <v>0</v>
      </c>
    </row>
    <row r="20" spans="1:5" x14ac:dyDescent="0.2">
      <c r="A20" s="6" t="s">
        <v>33</v>
      </c>
      <c r="B20" s="81">
        <v>225</v>
      </c>
      <c r="C20" s="81">
        <v>225</v>
      </c>
      <c r="D20" s="11">
        <f>C20-B20</f>
        <v>0</v>
      </c>
      <c r="E20" s="51">
        <f>(D20/B20)</f>
        <v>0</v>
      </c>
    </row>
    <row r="21" spans="1:5" x14ac:dyDescent="0.2">
      <c r="A21" s="6"/>
      <c r="B21" s="81"/>
      <c r="C21" s="81"/>
      <c r="D21" s="11"/>
      <c r="E21" s="51"/>
    </row>
    <row r="22" spans="1:5" x14ac:dyDescent="0.2">
      <c r="A22" s="2" t="s">
        <v>116</v>
      </c>
      <c r="B22" s="230">
        <v>1500</v>
      </c>
      <c r="C22" s="230">
        <v>500</v>
      </c>
      <c r="D22" s="155">
        <f>C22-B22</f>
        <v>-1000</v>
      </c>
      <c r="E22" s="139">
        <f>(D22/B22)</f>
        <v>-0.66666666666666663</v>
      </c>
    </row>
    <row r="23" spans="1:5" x14ac:dyDescent="0.2">
      <c r="A23" s="2"/>
      <c r="B23" s="81">
        <f>SUM(B13:B22)</f>
        <v>9875</v>
      </c>
      <c r="C23" s="81">
        <f>SUM(C13:C22)</f>
        <v>9075</v>
      </c>
      <c r="D23" s="81">
        <f>SUM(D13:D22)</f>
        <v>-800</v>
      </c>
      <c r="E23" s="51">
        <f>(D23/B23)</f>
        <v>-8.1012658227848103E-2</v>
      </c>
    </row>
    <row r="24" spans="1:5" x14ac:dyDescent="0.2">
      <c r="A24" s="6"/>
      <c r="B24" s="81"/>
      <c r="C24" s="81"/>
      <c r="D24" s="11"/>
      <c r="E24" s="51"/>
    </row>
    <row r="25" spans="1:5" x14ac:dyDescent="0.2">
      <c r="A25" s="144" t="s">
        <v>415</v>
      </c>
      <c r="B25" s="81"/>
      <c r="C25" s="81"/>
      <c r="D25" s="11"/>
      <c r="E25" s="51"/>
    </row>
    <row r="26" spans="1:5" x14ac:dyDescent="0.2">
      <c r="A26" s="58" t="s">
        <v>435</v>
      </c>
      <c r="B26" s="81">
        <v>9000</v>
      </c>
      <c r="C26" s="81">
        <v>14000</v>
      </c>
      <c r="D26" s="11">
        <f>C26-B26</f>
        <v>5000</v>
      </c>
      <c r="E26" s="51">
        <f t="shared" ref="E26:E31" si="0">(D26/B26)</f>
        <v>0.55555555555555558</v>
      </c>
    </row>
    <row r="27" spans="1:5" x14ac:dyDescent="0.2">
      <c r="A27" s="58" t="s">
        <v>436</v>
      </c>
      <c r="B27" s="81">
        <v>2200</v>
      </c>
      <c r="C27" s="81">
        <v>2700</v>
      </c>
      <c r="D27" s="11">
        <f>C27-B27</f>
        <v>500</v>
      </c>
      <c r="E27" s="51">
        <f t="shared" si="0"/>
        <v>0.22727272727272727</v>
      </c>
    </row>
    <row r="28" spans="1:5" x14ac:dyDescent="0.2">
      <c r="A28" s="58" t="s">
        <v>437</v>
      </c>
      <c r="B28" s="81">
        <v>700</v>
      </c>
      <c r="C28" s="81">
        <v>700</v>
      </c>
      <c r="D28" s="11">
        <f>C28-B28</f>
        <v>0</v>
      </c>
      <c r="E28" s="51">
        <f t="shared" si="0"/>
        <v>0</v>
      </c>
    </row>
    <row r="29" spans="1:5" x14ac:dyDescent="0.2">
      <c r="A29" s="58" t="s">
        <v>438</v>
      </c>
      <c r="B29" s="81">
        <v>1500</v>
      </c>
      <c r="C29" s="81">
        <v>1500</v>
      </c>
      <c r="D29" s="11">
        <f>C29-B29</f>
        <v>0</v>
      </c>
      <c r="E29" s="51">
        <f t="shared" si="0"/>
        <v>0</v>
      </c>
    </row>
    <row r="30" spans="1:5" x14ac:dyDescent="0.2">
      <c r="A30" s="58" t="s">
        <v>439</v>
      </c>
      <c r="B30" s="384">
        <v>1680</v>
      </c>
      <c r="C30" s="384">
        <v>1800</v>
      </c>
      <c r="D30" s="384">
        <f>C30-B30</f>
        <v>120</v>
      </c>
      <c r="E30" s="384">
        <f t="shared" si="0"/>
        <v>7.1428571428571425E-2</v>
      </c>
    </row>
    <row r="31" spans="1:5" x14ac:dyDescent="0.2">
      <c r="A31" s="6"/>
      <c r="B31" s="81">
        <f>SUM(B26:B30)</f>
        <v>15080</v>
      </c>
      <c r="C31" s="81">
        <f>SUM(C26:C30)</f>
        <v>20700</v>
      </c>
      <c r="D31" s="81">
        <f>SUM(D26:D29)</f>
        <v>5500</v>
      </c>
      <c r="E31" s="51">
        <f t="shared" si="0"/>
        <v>0.36472148541114058</v>
      </c>
    </row>
    <row r="32" spans="1:5" x14ac:dyDescent="0.2">
      <c r="A32" s="144" t="s">
        <v>28</v>
      </c>
      <c r="B32" s="81"/>
      <c r="C32" s="81"/>
      <c r="D32" s="11"/>
      <c r="E32" s="51"/>
    </row>
    <row r="33" spans="1:5" x14ac:dyDescent="0.2">
      <c r="A33" s="58" t="s">
        <v>372</v>
      </c>
      <c r="B33" s="81">
        <v>4500</v>
      </c>
      <c r="C33" s="81">
        <v>4500</v>
      </c>
      <c r="D33" s="11">
        <f>C33-B33</f>
        <v>0</v>
      </c>
      <c r="E33" s="51">
        <f t="shared" ref="E33:E38" si="1">(D33/B33)</f>
        <v>0</v>
      </c>
    </row>
    <row r="34" spans="1:5" x14ac:dyDescent="0.2">
      <c r="A34" s="225" t="s">
        <v>228</v>
      </c>
      <c r="B34" s="81">
        <v>350</v>
      </c>
      <c r="C34" s="81">
        <v>350</v>
      </c>
      <c r="D34" s="11">
        <f>C34-B34</f>
        <v>0</v>
      </c>
      <c r="E34" s="51">
        <f t="shared" si="1"/>
        <v>0</v>
      </c>
    </row>
    <row r="35" spans="1:5" x14ac:dyDescent="0.2">
      <c r="A35" s="58" t="s">
        <v>356</v>
      </c>
      <c r="B35" s="81">
        <v>500</v>
      </c>
      <c r="C35" s="81">
        <v>500</v>
      </c>
      <c r="D35" s="11">
        <f>C35-B35</f>
        <v>0</v>
      </c>
      <c r="E35" s="51">
        <f t="shared" si="1"/>
        <v>0</v>
      </c>
    </row>
    <row r="36" spans="1:5" x14ac:dyDescent="0.2">
      <c r="A36" s="225" t="s">
        <v>229</v>
      </c>
      <c r="B36" s="81">
        <v>250</v>
      </c>
      <c r="C36" s="81">
        <v>200</v>
      </c>
      <c r="D36" s="11">
        <f>C36-B36</f>
        <v>-50</v>
      </c>
      <c r="E36" s="51">
        <f t="shared" si="1"/>
        <v>-0.2</v>
      </c>
    </row>
    <row r="37" spans="1:5" x14ac:dyDescent="0.2">
      <c r="A37" s="58" t="s">
        <v>409</v>
      </c>
      <c r="B37" s="230">
        <v>500</v>
      </c>
      <c r="C37" s="230">
        <f>4*125</f>
        <v>500</v>
      </c>
      <c r="D37" s="155">
        <f>C37-B37</f>
        <v>0</v>
      </c>
      <c r="E37" s="139">
        <f t="shared" si="1"/>
        <v>0</v>
      </c>
    </row>
    <row r="38" spans="1:5" x14ac:dyDescent="0.2">
      <c r="A38" s="6"/>
      <c r="B38" s="81">
        <f>SUM(B33:B37)</f>
        <v>6100</v>
      </c>
      <c r="C38" s="81">
        <f>SUM(C33:C37)</f>
        <v>6050</v>
      </c>
      <c r="D38" s="81">
        <f>SUM(D33:D37)</f>
        <v>-50</v>
      </c>
      <c r="E38" s="51">
        <f t="shared" si="1"/>
        <v>-8.1967213114754103E-3</v>
      </c>
    </row>
    <row r="39" spans="1:5" x14ac:dyDescent="0.2">
      <c r="A39" s="6"/>
      <c r="B39" s="81"/>
      <c r="C39" s="81"/>
      <c r="D39" s="11"/>
      <c r="E39" s="51"/>
    </row>
    <row r="40" spans="1:5" x14ac:dyDescent="0.2">
      <c r="A40" s="144" t="s">
        <v>14</v>
      </c>
      <c r="B40" s="81"/>
      <c r="C40" s="81"/>
      <c r="D40" s="11"/>
      <c r="E40" s="51"/>
    </row>
    <row r="41" spans="1:5" x14ac:dyDescent="0.2">
      <c r="A41" s="58" t="s">
        <v>117</v>
      </c>
      <c r="B41" s="81">
        <v>750</v>
      </c>
      <c r="C41" s="81">
        <v>750</v>
      </c>
      <c r="D41" s="11">
        <f>C41-B41</f>
        <v>0</v>
      </c>
      <c r="E41" s="51">
        <f>(D41/B41)</f>
        <v>0</v>
      </c>
    </row>
    <row r="42" spans="1:5" x14ac:dyDescent="0.2">
      <c r="A42" s="58" t="s">
        <v>146</v>
      </c>
      <c r="B42" s="230">
        <v>500</v>
      </c>
      <c r="C42" s="230">
        <v>0</v>
      </c>
      <c r="D42" s="155">
        <f>C42-B42</f>
        <v>-500</v>
      </c>
      <c r="E42" s="139">
        <f>(D42/B42)</f>
        <v>-1</v>
      </c>
    </row>
    <row r="43" spans="1:5" x14ac:dyDescent="0.2">
      <c r="A43" s="6"/>
      <c r="B43" s="81">
        <f>SUM(B41:B42)</f>
        <v>1250</v>
      </c>
      <c r="C43" s="81">
        <f>SUM(C41:C42)</f>
        <v>750</v>
      </c>
      <c r="D43" s="81">
        <f>SUM(D41:D42)</f>
        <v>-500</v>
      </c>
      <c r="E43" s="51">
        <f>(D43/B43)</f>
        <v>-0.4</v>
      </c>
    </row>
    <row r="44" spans="1:5" x14ac:dyDescent="0.2">
      <c r="A44" s="6"/>
      <c r="B44" s="81"/>
      <c r="C44" s="81"/>
      <c r="D44" s="11"/>
      <c r="E44" s="51"/>
    </row>
    <row r="45" spans="1:5" x14ac:dyDescent="0.2">
      <c r="A45" s="144" t="s">
        <v>16</v>
      </c>
      <c r="B45" s="81"/>
      <c r="C45" s="81"/>
      <c r="D45" s="11"/>
      <c r="E45" s="51"/>
    </row>
    <row r="46" spans="1:5" x14ac:dyDescent="0.2">
      <c r="A46" s="225" t="s">
        <v>230</v>
      </c>
      <c r="B46" s="378">
        <v>1800</v>
      </c>
      <c r="C46" s="378">
        <v>1800</v>
      </c>
      <c r="D46" s="29">
        <f>C46-B46</f>
        <v>0</v>
      </c>
      <c r="E46" s="51">
        <f>(D46/B46)</f>
        <v>0</v>
      </c>
    </row>
    <row r="47" spans="1:5" x14ac:dyDescent="0.2">
      <c r="A47" s="6" t="s">
        <v>0</v>
      </c>
      <c r="B47" s="81"/>
      <c r="C47" s="81"/>
      <c r="D47" s="11"/>
      <c r="E47" s="51"/>
    </row>
    <row r="48" spans="1:5" x14ac:dyDescent="0.2">
      <c r="A48" s="144"/>
      <c r="B48" s="81"/>
      <c r="C48" s="81"/>
      <c r="D48" s="11"/>
      <c r="E48" s="51"/>
    </row>
    <row r="49" spans="1:5" ht="15" x14ac:dyDescent="0.25">
      <c r="A49" s="77" t="s">
        <v>64</v>
      </c>
      <c r="B49" s="216">
        <f>SUM(B46+B43+B31+B23+B9+B38)</f>
        <v>37105</v>
      </c>
      <c r="C49" s="216">
        <f>SUM(C46+C43+C31+C23+C9+C38)</f>
        <v>41375</v>
      </c>
      <c r="D49" s="216">
        <f>SUM(D46+D43+D31+D23+D9)</f>
        <v>4200</v>
      </c>
      <c r="E49" s="173">
        <f>(D49/B49)</f>
        <v>0.11319229214391592</v>
      </c>
    </row>
    <row r="50" spans="1:5" x14ac:dyDescent="0.2">
      <c r="A50" s="146"/>
      <c r="B50" s="161"/>
      <c r="C50" s="212"/>
      <c r="D50" s="47"/>
      <c r="E50" s="193"/>
    </row>
    <row r="51" spans="1:5" x14ac:dyDescent="0.2">
      <c r="B51" s="43"/>
      <c r="C51" s="30"/>
    </row>
    <row r="52" spans="1:5" x14ac:dyDescent="0.2">
      <c r="B52" s="30"/>
      <c r="C52" s="30"/>
    </row>
    <row r="53" spans="1:5" ht="15" x14ac:dyDescent="0.35">
      <c r="B53" s="42"/>
      <c r="C53" s="30"/>
    </row>
    <row r="55" spans="1:5" x14ac:dyDescent="0.2">
      <c r="A55" s="44"/>
      <c r="B55" s="30"/>
      <c r="C55" s="30"/>
      <c r="D55" s="32"/>
    </row>
  </sheetData>
  <phoneticPr fontId="0" type="noConversion"/>
  <pageMargins left="1" right="0.5" top="1" bottom="0.5" header="0.5" footer="0.5"/>
  <pageSetup scale="99" orientation="portrait" horizontalDpi="300" verticalDpi="30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27"/>
  <dimension ref="A1:H42"/>
  <sheetViews>
    <sheetView showGridLines="0" zoomScaleNormal="100" workbookViewId="0">
      <selection activeCell="G1" sqref="G1:G1048576"/>
    </sheetView>
  </sheetViews>
  <sheetFormatPr defaultColWidth="8.7109375" defaultRowHeight="12.75" x14ac:dyDescent="0.2"/>
  <cols>
    <col min="1" max="1" width="40.28515625" bestFit="1" customWidth="1"/>
    <col min="2" max="2" width="10.7109375" customWidth="1"/>
    <col min="3" max="3" width="10.7109375" bestFit="1" customWidth="1"/>
    <col min="4" max="4" width="9.7109375" bestFit="1" customWidth="1"/>
    <col min="5" max="5" width="9.28515625" bestFit="1" customWidth="1"/>
  </cols>
  <sheetData>
    <row r="1" spans="1:5" ht="15.75" x14ac:dyDescent="0.25">
      <c r="A1" s="3" t="str">
        <f>'Ann Sess'!A1</f>
        <v>2026 Budget</v>
      </c>
      <c r="B1" s="3" t="s">
        <v>8</v>
      </c>
    </row>
    <row r="2" spans="1:5" ht="15.75" x14ac:dyDescent="0.25">
      <c r="A2" s="359" t="str">
        <f>'Ann Sess'!A2</f>
        <v>1st Draft</v>
      </c>
      <c r="B2" s="3"/>
    </row>
    <row r="3" spans="1:5" ht="15.75" x14ac:dyDescent="0.25">
      <c r="A3" s="100"/>
      <c r="B3" s="3" t="s">
        <v>9</v>
      </c>
    </row>
    <row r="4" spans="1:5" x14ac:dyDescent="0.2">
      <c r="A4" s="7"/>
      <c r="D4" s="7" t="s">
        <v>0</v>
      </c>
    </row>
    <row r="5" spans="1:5" ht="15" x14ac:dyDescent="0.25">
      <c r="A5" s="63" t="s">
        <v>26</v>
      </c>
      <c r="B5" s="63">
        <f>'Ann Sess'!B5</f>
        <v>2025</v>
      </c>
      <c r="C5" s="63">
        <f>'Ann Sess'!C5</f>
        <v>2026</v>
      </c>
      <c r="D5" s="4" t="s">
        <v>44</v>
      </c>
      <c r="E5" s="55" t="s">
        <v>44</v>
      </c>
    </row>
    <row r="6" spans="1:5" ht="15" x14ac:dyDescent="0.25">
      <c r="A6" s="46" t="s">
        <v>41</v>
      </c>
      <c r="B6" s="46" t="s">
        <v>43</v>
      </c>
      <c r="C6" s="46" t="s">
        <v>120</v>
      </c>
      <c r="D6" s="5" t="s">
        <v>45</v>
      </c>
      <c r="E6" s="56" t="s">
        <v>46</v>
      </c>
    </row>
    <row r="7" spans="1:5" x14ac:dyDescent="0.2">
      <c r="A7" s="6" t="s">
        <v>0</v>
      </c>
      <c r="B7" s="10"/>
      <c r="C7" s="10"/>
      <c r="D7" s="2"/>
      <c r="E7" s="50"/>
    </row>
    <row r="8" spans="1:5" x14ac:dyDescent="0.2">
      <c r="A8" s="145" t="s">
        <v>67</v>
      </c>
      <c r="B8" s="213">
        <f>Headquarters!B49</f>
        <v>37105</v>
      </c>
      <c r="C8" s="213">
        <f>Headquarters!C49</f>
        <v>41375</v>
      </c>
      <c r="D8" s="78">
        <f>C8-B8</f>
        <v>4270</v>
      </c>
      <c r="E8" s="52">
        <f>(D8/B8)</f>
        <v>0.11507883034631451</v>
      </c>
    </row>
    <row r="9" spans="1:5" x14ac:dyDescent="0.2">
      <c r="A9" s="6"/>
      <c r="B9" s="88"/>
      <c r="C9" s="88"/>
      <c r="D9" s="11"/>
      <c r="E9" s="51"/>
    </row>
    <row r="10" spans="1:5" x14ac:dyDescent="0.2">
      <c r="A10" s="144" t="s">
        <v>34</v>
      </c>
      <c r="B10" s="88"/>
      <c r="C10" s="88"/>
      <c r="D10" s="11"/>
      <c r="E10" s="51"/>
    </row>
    <row r="11" spans="1:5" x14ac:dyDescent="0.2">
      <c r="A11" s="58" t="s">
        <v>118</v>
      </c>
      <c r="B11" s="304">
        <v>250</v>
      </c>
      <c r="C11" s="304">
        <v>400</v>
      </c>
      <c r="D11" s="11">
        <f>C11-B11</f>
        <v>150</v>
      </c>
      <c r="E11" s="51">
        <f>(D11/B11)</f>
        <v>0.6</v>
      </c>
    </row>
    <row r="12" spans="1:5" x14ac:dyDescent="0.2">
      <c r="A12" s="58" t="s">
        <v>119</v>
      </c>
      <c r="B12" s="227"/>
      <c r="C12" s="227"/>
      <c r="D12" s="11"/>
      <c r="E12" s="51"/>
    </row>
    <row r="13" spans="1:5" x14ac:dyDescent="0.2">
      <c r="A13" s="151" t="s">
        <v>181</v>
      </c>
      <c r="B13" s="229">
        <v>3750</v>
      </c>
      <c r="C13" s="229">
        <v>4100</v>
      </c>
      <c r="D13" s="11">
        <f>C13-B13</f>
        <v>350</v>
      </c>
      <c r="E13" s="51">
        <f t="shared" ref="E13:E18" si="0">(D13/B13)</f>
        <v>9.3333333333333338E-2</v>
      </c>
    </row>
    <row r="14" spans="1:5" x14ac:dyDescent="0.2">
      <c r="A14" s="151" t="s">
        <v>358</v>
      </c>
      <c r="B14" s="304">
        <v>500</v>
      </c>
      <c r="C14" s="304">
        <v>0</v>
      </c>
      <c r="D14" s="11">
        <f>C14-B14</f>
        <v>-500</v>
      </c>
      <c r="E14" s="51">
        <f t="shared" si="0"/>
        <v>-1</v>
      </c>
    </row>
    <row r="15" spans="1:5" x14ac:dyDescent="0.2">
      <c r="A15" s="151" t="s">
        <v>357</v>
      </c>
      <c r="B15" s="304">
        <v>10500</v>
      </c>
      <c r="C15" s="304">
        <v>11500</v>
      </c>
      <c r="D15" s="11">
        <f>C15-B15</f>
        <v>1000</v>
      </c>
      <c r="E15" s="51">
        <f t="shared" si="0"/>
        <v>9.5238095238095233E-2</v>
      </c>
    </row>
    <row r="16" spans="1:5" x14ac:dyDescent="0.2">
      <c r="A16" s="151" t="s">
        <v>184</v>
      </c>
      <c r="B16" s="229">
        <v>800</v>
      </c>
      <c r="C16" s="229">
        <v>800</v>
      </c>
      <c r="D16" s="33">
        <f>C16-B16</f>
        <v>0</v>
      </c>
      <c r="E16" s="51">
        <f t="shared" si="0"/>
        <v>0</v>
      </c>
    </row>
    <row r="17" spans="1:8" x14ac:dyDescent="0.2">
      <c r="A17" s="151" t="s">
        <v>189</v>
      </c>
      <c r="B17" s="228">
        <v>1200</v>
      </c>
      <c r="C17" s="228">
        <v>1400</v>
      </c>
      <c r="D17" s="124">
        <f>C17-B17</f>
        <v>200</v>
      </c>
      <c r="E17" s="102">
        <f t="shared" si="0"/>
        <v>0.16666666666666666</v>
      </c>
    </row>
    <row r="18" spans="1:8" x14ac:dyDescent="0.2">
      <c r="A18" s="2"/>
      <c r="B18" s="227">
        <f>SUM(B11:B17)</f>
        <v>17000</v>
      </c>
      <c r="C18" s="227">
        <f>SUM(C11:C17)</f>
        <v>18200</v>
      </c>
      <c r="D18" s="88">
        <f>SUM(D11:D17)</f>
        <v>1200</v>
      </c>
      <c r="E18" s="51">
        <f t="shared" si="0"/>
        <v>7.0588235294117646E-2</v>
      </c>
      <c r="H18" s="115"/>
    </row>
    <row r="19" spans="1:8" x14ac:dyDescent="0.2">
      <c r="A19" s="2"/>
      <c r="B19" s="227"/>
      <c r="C19" s="227"/>
      <c r="D19" s="11"/>
      <c r="E19" s="51"/>
    </row>
    <row r="20" spans="1:8" x14ac:dyDescent="0.2">
      <c r="A20" s="151"/>
      <c r="B20" s="227"/>
      <c r="C20" s="227"/>
      <c r="D20" s="11"/>
      <c r="E20" s="51"/>
    </row>
    <row r="21" spans="1:8" x14ac:dyDescent="0.2">
      <c r="A21" s="6"/>
      <c r="B21" s="227"/>
      <c r="C21" s="227"/>
      <c r="D21" s="11"/>
      <c r="E21" s="51"/>
    </row>
    <row r="22" spans="1:8" x14ac:dyDescent="0.2">
      <c r="A22" s="150" t="s">
        <v>231</v>
      </c>
      <c r="B22" s="229">
        <v>3000</v>
      </c>
      <c r="C22" s="229">
        <v>3000</v>
      </c>
      <c r="D22" s="11">
        <f>C22-B22</f>
        <v>0</v>
      </c>
      <c r="E22" s="51">
        <f>(D22/B22)</f>
        <v>0</v>
      </c>
    </row>
    <row r="23" spans="1:8" x14ac:dyDescent="0.2">
      <c r="A23" s="6"/>
      <c r="B23" s="88"/>
      <c r="C23" s="88"/>
      <c r="D23" s="11"/>
      <c r="E23" s="51"/>
    </row>
    <row r="24" spans="1:8" x14ac:dyDescent="0.2">
      <c r="A24" s="6"/>
      <c r="B24" s="88"/>
      <c r="C24" s="88"/>
      <c r="D24" s="11"/>
      <c r="E24" s="51"/>
    </row>
    <row r="25" spans="1:8" x14ac:dyDescent="0.2">
      <c r="A25" s="6"/>
      <c r="B25" s="88"/>
      <c r="C25" s="88"/>
      <c r="D25" s="11"/>
      <c r="E25" s="51"/>
    </row>
    <row r="26" spans="1:8" ht="15.75" thickBot="1" x14ac:dyDescent="0.3">
      <c r="A26" s="166" t="s">
        <v>22</v>
      </c>
      <c r="B26" s="214">
        <f>SUM(B22+B18+B8)</f>
        <v>57105</v>
      </c>
      <c r="C26" s="214">
        <f>SUM(C22+C18+C8)</f>
        <v>62575</v>
      </c>
      <c r="D26" s="214">
        <f>SUM(D22+D18+D8)</f>
        <v>5470</v>
      </c>
      <c r="E26" s="143">
        <f>(D26/B26)</f>
        <v>9.5788459854653701E-2</v>
      </c>
    </row>
    <row r="27" spans="1:8" ht="15.75" thickTop="1" x14ac:dyDescent="0.35">
      <c r="A27" s="146"/>
      <c r="B27" s="215"/>
      <c r="C27" s="161"/>
      <c r="D27" s="161"/>
      <c r="E27" s="193"/>
    </row>
    <row r="28" spans="1:8" x14ac:dyDescent="0.2">
      <c r="B28" s="30"/>
      <c r="C28" s="30"/>
    </row>
    <row r="29" spans="1:8" x14ac:dyDescent="0.2">
      <c r="A29" s="44"/>
      <c r="B29" s="30"/>
      <c r="C29" s="30"/>
      <c r="D29" s="32"/>
    </row>
    <row r="30" spans="1:8" x14ac:dyDescent="0.2">
      <c r="A30" s="35"/>
      <c r="B30" s="30"/>
      <c r="C30" s="30"/>
      <c r="D30" s="32"/>
    </row>
    <row r="31" spans="1:8" ht="15" x14ac:dyDescent="0.35">
      <c r="A31" s="35"/>
      <c r="B31" s="42"/>
      <c r="C31" s="30"/>
      <c r="D31" s="32"/>
    </row>
    <row r="32" spans="1:8" x14ac:dyDescent="0.2">
      <c r="A32" t="s">
        <v>0</v>
      </c>
      <c r="B32" s="30" t="s">
        <v>0</v>
      </c>
      <c r="C32" s="30" t="s">
        <v>0</v>
      </c>
    </row>
    <row r="33" spans="1:4" x14ac:dyDescent="0.2">
      <c r="A33" s="44"/>
      <c r="B33" s="30"/>
      <c r="C33" s="30"/>
    </row>
    <row r="34" spans="1:4" x14ac:dyDescent="0.2">
      <c r="B34" s="30"/>
      <c r="C34" s="30"/>
    </row>
    <row r="35" spans="1:4" x14ac:dyDescent="0.2">
      <c r="B35" s="30"/>
      <c r="C35" s="30"/>
    </row>
    <row r="36" spans="1:4" x14ac:dyDescent="0.2">
      <c r="B36" s="48"/>
      <c r="C36" s="30"/>
      <c r="D36" s="32"/>
    </row>
    <row r="37" spans="1:4" x14ac:dyDescent="0.2">
      <c r="A37" t="s">
        <v>0</v>
      </c>
      <c r="B37" s="45" t="s">
        <v>0</v>
      </c>
      <c r="C37" s="30"/>
    </row>
    <row r="38" spans="1:4" x14ac:dyDescent="0.2">
      <c r="A38" s="44"/>
      <c r="B38" s="30"/>
      <c r="C38" s="30"/>
      <c r="D38" s="32"/>
    </row>
    <row r="39" spans="1:4" ht="15" x14ac:dyDescent="0.35">
      <c r="A39" s="35"/>
      <c r="B39" s="42"/>
      <c r="C39" s="42"/>
    </row>
    <row r="40" spans="1:4" x14ac:dyDescent="0.2">
      <c r="B40" s="30"/>
      <c r="C40" s="30"/>
    </row>
    <row r="41" spans="1:4" x14ac:dyDescent="0.2">
      <c r="B41" s="30"/>
      <c r="C41" s="30"/>
    </row>
    <row r="42" spans="1:4" x14ac:dyDescent="0.2">
      <c r="B42" s="48"/>
      <c r="C42" s="28"/>
    </row>
  </sheetData>
  <phoneticPr fontId="0" type="noConversion"/>
  <pageMargins left="1" right="0.5" top="1" bottom="1" header="0.5" footer="0.5"/>
  <pageSetup orientation="portrait" horizontalDpi="300" verticalDpi="3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25"/>
  <dimension ref="A1:F32"/>
  <sheetViews>
    <sheetView showGridLines="0" zoomScaleNormal="100" workbookViewId="0">
      <selection activeCell="H1" sqref="H1:H1048576"/>
    </sheetView>
  </sheetViews>
  <sheetFormatPr defaultColWidth="8.7109375" defaultRowHeight="12.75" x14ac:dyDescent="0.2"/>
  <cols>
    <col min="1" max="1" width="32.7109375" bestFit="1" customWidth="1"/>
    <col min="2" max="2" width="10.7109375" customWidth="1"/>
    <col min="3" max="3" width="10.7109375" bestFit="1" customWidth="1"/>
    <col min="4" max="5" width="9.7109375" bestFit="1" customWidth="1"/>
  </cols>
  <sheetData>
    <row r="1" spans="1:5" ht="15.75" x14ac:dyDescent="0.25">
      <c r="A1" s="3" t="str">
        <f>'Ann Sess'!A1</f>
        <v>2026 Budget</v>
      </c>
      <c r="B1" s="3" t="s">
        <v>8</v>
      </c>
      <c r="C1" s="3"/>
    </row>
    <row r="2" spans="1:5" ht="15.75" x14ac:dyDescent="0.25">
      <c r="A2" s="359" t="str">
        <f>'Ann Sess'!A2</f>
        <v>1st Draft</v>
      </c>
      <c r="B2" s="3"/>
      <c r="C2" s="3"/>
    </row>
    <row r="3" spans="1:5" ht="15.75" x14ac:dyDescent="0.25">
      <c r="A3" s="100"/>
      <c r="B3" s="3" t="s">
        <v>35</v>
      </c>
      <c r="C3" s="3"/>
    </row>
    <row r="4" spans="1:5" x14ac:dyDescent="0.2">
      <c r="D4" s="7" t="s">
        <v>0</v>
      </c>
    </row>
    <row r="5" spans="1:5" s="64" customFormat="1" ht="15" x14ac:dyDescent="0.25">
      <c r="A5" s="4" t="s">
        <v>26</v>
      </c>
      <c r="B5" s="63">
        <f>'Ann Sess'!B5</f>
        <v>2025</v>
      </c>
      <c r="C5" s="63">
        <f>'Ann Sess'!C5</f>
        <v>2026</v>
      </c>
      <c r="D5" s="63" t="s">
        <v>44</v>
      </c>
      <c r="E5" s="57" t="s">
        <v>44</v>
      </c>
    </row>
    <row r="6" spans="1:5" s="64" customFormat="1" ht="15" x14ac:dyDescent="0.25">
      <c r="A6" s="46" t="s">
        <v>41</v>
      </c>
      <c r="B6" s="46" t="s">
        <v>43</v>
      </c>
      <c r="C6" s="46" t="s">
        <v>120</v>
      </c>
      <c r="D6" s="46" t="s">
        <v>45</v>
      </c>
      <c r="E6" s="86" t="s">
        <v>46</v>
      </c>
    </row>
    <row r="7" spans="1:5" x14ac:dyDescent="0.2">
      <c r="A7" s="50"/>
      <c r="B7" s="105"/>
      <c r="C7" s="105"/>
      <c r="D7" s="6"/>
      <c r="E7" s="6"/>
    </row>
    <row r="8" spans="1:5" x14ac:dyDescent="0.2">
      <c r="A8" s="144" t="s">
        <v>10</v>
      </c>
      <c r="B8" s="236"/>
      <c r="C8" s="106"/>
      <c r="D8" s="6"/>
      <c r="E8" s="6"/>
    </row>
    <row r="9" spans="1:5" x14ac:dyDescent="0.2">
      <c r="A9" s="6" t="s">
        <v>147</v>
      </c>
      <c r="B9" s="237"/>
      <c r="C9" s="12"/>
      <c r="D9" s="11"/>
      <c r="E9" s="51"/>
    </row>
    <row r="10" spans="1:5" x14ac:dyDescent="0.2">
      <c r="A10" s="6" t="s">
        <v>148</v>
      </c>
      <c r="B10" s="290">
        <v>4800</v>
      </c>
      <c r="C10" s="290">
        <v>4900</v>
      </c>
      <c r="D10" s="11">
        <f>C10-B10</f>
        <v>100</v>
      </c>
      <c r="E10" s="51">
        <f>(D10/B10)</f>
        <v>2.0833333333333332E-2</v>
      </c>
    </row>
    <row r="11" spans="1:5" x14ac:dyDescent="0.2">
      <c r="A11" s="225" t="s">
        <v>225</v>
      </c>
      <c r="B11" s="290">
        <v>7000</v>
      </c>
      <c r="C11" s="290">
        <v>7100</v>
      </c>
      <c r="D11" s="11">
        <f>C11-B11</f>
        <v>100</v>
      </c>
      <c r="E11" s="51">
        <f>(D11/B11)</f>
        <v>1.4285714285714285E-2</v>
      </c>
    </row>
    <row r="12" spans="1:5" x14ac:dyDescent="0.2">
      <c r="A12" s="58" t="s">
        <v>475</v>
      </c>
      <c r="B12" s="12">
        <v>775</v>
      </c>
      <c r="C12" s="12">
        <f>5*180</f>
        <v>900</v>
      </c>
      <c r="D12" s="11">
        <f>C12-B12</f>
        <v>125</v>
      </c>
      <c r="E12" s="51">
        <f>(D12/B12)</f>
        <v>0.16129032258064516</v>
      </c>
    </row>
    <row r="13" spans="1:5" x14ac:dyDescent="0.2">
      <c r="A13" s="225" t="s">
        <v>152</v>
      </c>
      <c r="B13" s="110"/>
      <c r="C13" s="110"/>
      <c r="D13" s="11"/>
      <c r="E13" s="51"/>
    </row>
    <row r="14" spans="1:5" x14ac:dyDescent="0.2">
      <c r="A14" s="58" t="s">
        <v>153</v>
      </c>
      <c r="B14" s="110">
        <v>1500</v>
      </c>
      <c r="C14" s="110">
        <v>1500</v>
      </c>
      <c r="D14" s="11">
        <f>C14-B14</f>
        <v>0</v>
      </c>
      <c r="E14" s="51">
        <f>(D14/B14)</f>
        <v>0</v>
      </c>
    </row>
    <row r="15" spans="1:5" x14ac:dyDescent="0.2">
      <c r="A15" s="58" t="s">
        <v>112</v>
      </c>
      <c r="B15" s="179">
        <v>500</v>
      </c>
      <c r="C15" s="179">
        <v>500</v>
      </c>
      <c r="D15" s="155">
        <f>C15-B15</f>
        <v>0</v>
      </c>
      <c r="E15" s="139">
        <f>(D15/B15)</f>
        <v>0</v>
      </c>
    </row>
    <row r="16" spans="1:5" x14ac:dyDescent="0.2">
      <c r="A16" s="6"/>
      <c r="B16" s="306">
        <f>SUM(B9:B15)</f>
        <v>14575</v>
      </c>
      <c r="C16" s="306">
        <f>SUM(C9:C15)</f>
        <v>14900</v>
      </c>
      <c r="D16" s="11">
        <f>C16-B16</f>
        <v>325</v>
      </c>
      <c r="E16" s="51">
        <f>(D16/B16)</f>
        <v>2.2298456260720412E-2</v>
      </c>
    </row>
    <row r="17" spans="1:6" x14ac:dyDescent="0.2">
      <c r="A17" s="6"/>
      <c r="B17" s="13"/>
      <c r="C17" s="13"/>
      <c r="D17" s="11"/>
      <c r="E17" s="51"/>
    </row>
    <row r="18" spans="1:6" x14ac:dyDescent="0.2">
      <c r="A18" s="144" t="s">
        <v>11</v>
      </c>
      <c r="B18" s="363"/>
      <c r="C18" s="363"/>
      <c r="D18" s="11"/>
      <c r="E18" s="51"/>
    </row>
    <row r="19" spans="1:6" x14ac:dyDescent="0.2">
      <c r="A19" s="225" t="s">
        <v>226</v>
      </c>
      <c r="B19" s="13">
        <v>2700</v>
      </c>
      <c r="C19" s="13">
        <f>5*4*135</f>
        <v>2700</v>
      </c>
      <c r="D19" s="11">
        <f>C19-B19</f>
        <v>0</v>
      </c>
      <c r="E19" s="51">
        <f>(D19/B19)</f>
        <v>0</v>
      </c>
    </row>
    <row r="20" spans="1:6" x14ac:dyDescent="0.2">
      <c r="A20" s="6"/>
      <c r="B20" s="13"/>
      <c r="C20" s="13"/>
      <c r="D20" s="2"/>
      <c r="E20" s="6"/>
    </row>
    <row r="21" spans="1:6" x14ac:dyDescent="0.2">
      <c r="A21" s="144" t="s">
        <v>13</v>
      </c>
      <c r="B21" s="363"/>
      <c r="C21" s="363"/>
      <c r="D21" s="2"/>
      <c r="E21" s="6"/>
    </row>
    <row r="22" spans="1:6" x14ac:dyDescent="0.2">
      <c r="A22" s="6" t="s">
        <v>150</v>
      </c>
      <c r="B22" s="111">
        <v>2800</v>
      </c>
      <c r="C22" s="111">
        <v>2800</v>
      </c>
      <c r="D22" s="11">
        <f>C22-B22</f>
        <v>0</v>
      </c>
      <c r="E22" s="51">
        <f>(D22/B22)</f>
        <v>0</v>
      </c>
    </row>
    <row r="23" spans="1:6" x14ac:dyDescent="0.2">
      <c r="A23" s="58" t="s">
        <v>151</v>
      </c>
      <c r="B23" s="84">
        <v>200</v>
      </c>
      <c r="C23" s="84">
        <v>200</v>
      </c>
      <c r="D23" s="11">
        <f>C23-B23</f>
        <v>0</v>
      </c>
      <c r="E23" s="51">
        <f>(D23/B23)</f>
        <v>0</v>
      </c>
    </row>
    <row r="24" spans="1:6" x14ac:dyDescent="0.2">
      <c r="A24" s="6" t="s">
        <v>149</v>
      </c>
      <c r="B24" s="84">
        <v>800</v>
      </c>
      <c r="C24" s="84">
        <v>800</v>
      </c>
      <c r="D24" s="11">
        <f>C24-B24</f>
        <v>0</v>
      </c>
      <c r="E24" s="51">
        <f>(D24/B24)</f>
        <v>0</v>
      </c>
    </row>
    <row r="25" spans="1:6" x14ac:dyDescent="0.2">
      <c r="A25" s="58" t="s">
        <v>152</v>
      </c>
      <c r="B25" s="179">
        <v>1600</v>
      </c>
      <c r="C25" s="179">
        <v>1800</v>
      </c>
      <c r="D25" s="155">
        <f>C25-B25</f>
        <v>200</v>
      </c>
      <c r="E25" s="139">
        <f>(D25/B25)</f>
        <v>0.125</v>
      </c>
    </row>
    <row r="26" spans="1:6" x14ac:dyDescent="0.2">
      <c r="A26" s="6"/>
      <c r="B26" s="12">
        <f>SUM(B22:B25)</f>
        <v>5400</v>
      </c>
      <c r="C26" s="12">
        <f>SUM(C22:C25)</f>
        <v>5600</v>
      </c>
      <c r="D26" s="12">
        <f>SUM(D22:D25)</f>
        <v>200</v>
      </c>
      <c r="E26" s="51">
        <f>(D26/B26)</f>
        <v>3.7037037037037035E-2</v>
      </c>
    </row>
    <row r="27" spans="1:6" x14ac:dyDescent="0.2">
      <c r="A27" s="6"/>
      <c r="B27" s="13"/>
      <c r="C27" s="30"/>
      <c r="D27" s="11"/>
      <c r="E27" s="51"/>
    </row>
    <row r="28" spans="1:6" x14ac:dyDescent="0.2">
      <c r="A28" s="6"/>
      <c r="B28" s="302"/>
      <c r="C28" s="112"/>
      <c r="D28" s="6"/>
      <c r="E28" s="6"/>
    </row>
    <row r="29" spans="1:6" s="37" customFormat="1" ht="15.75" thickBot="1" x14ac:dyDescent="0.3">
      <c r="A29" s="166" t="s">
        <v>22</v>
      </c>
      <c r="B29" s="223">
        <f>B16+B19+B26</f>
        <v>22675</v>
      </c>
      <c r="C29" s="223">
        <f>C16+C19+C26</f>
        <v>23200</v>
      </c>
      <c r="D29" s="191">
        <f>D16+D19+D26</f>
        <v>525</v>
      </c>
      <c r="E29" s="210">
        <f>(D29/B29)</f>
        <v>2.3153252480705624E-2</v>
      </c>
      <c r="F29" s="82"/>
    </row>
    <row r="30" spans="1:6" ht="13.5" thickTop="1" x14ac:dyDescent="0.2">
      <c r="A30" s="146"/>
      <c r="B30" s="211"/>
      <c r="C30" s="211"/>
      <c r="D30" s="47"/>
      <c r="E30" s="149"/>
    </row>
    <row r="31" spans="1:6" x14ac:dyDescent="0.2">
      <c r="A31" s="35"/>
      <c r="B31" s="30"/>
      <c r="C31" s="30"/>
    </row>
    <row r="32" spans="1:6" x14ac:dyDescent="0.2">
      <c r="A32" s="35"/>
      <c r="B32" s="30"/>
      <c r="C32" s="30"/>
    </row>
  </sheetData>
  <phoneticPr fontId="0" type="noConversion"/>
  <pageMargins left="1" right="0.5" top="1" bottom="1" header="0.5" footer="0.5"/>
  <pageSetup orientation="portrait" horizontalDpi="300" verticalDpi="300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G47"/>
  <sheetViews>
    <sheetView showGridLines="0" topLeftCell="A20" zoomScaleNormal="100" workbookViewId="0">
      <selection activeCell="H1" sqref="H1:L1048576"/>
    </sheetView>
  </sheetViews>
  <sheetFormatPr defaultColWidth="8.7109375" defaultRowHeight="12.75" x14ac:dyDescent="0.2"/>
  <cols>
    <col min="1" max="1" width="37.28515625" bestFit="1" customWidth="1"/>
    <col min="2" max="2" width="11" customWidth="1"/>
    <col min="3" max="3" width="10.7109375" bestFit="1" customWidth="1"/>
    <col min="4" max="4" width="11.42578125" bestFit="1" customWidth="1"/>
    <col min="5" max="5" width="9.28515625" bestFit="1" customWidth="1"/>
    <col min="6" max="6" width="12.7109375" bestFit="1" customWidth="1"/>
    <col min="7" max="7" width="13.5703125" bestFit="1" customWidth="1"/>
  </cols>
  <sheetData>
    <row r="1" spans="1:7" ht="15.75" x14ac:dyDescent="0.25">
      <c r="A1" s="3" t="str">
        <f>'Ann Sess'!A1</f>
        <v>2026 Budget</v>
      </c>
      <c r="B1" s="3" t="s">
        <v>8</v>
      </c>
      <c r="C1" s="3"/>
      <c r="D1" s="3"/>
    </row>
    <row r="2" spans="1:7" ht="15.75" x14ac:dyDescent="0.25">
      <c r="A2" s="359" t="str">
        <f>'Ann Sess'!A2</f>
        <v>1st Draft</v>
      </c>
      <c r="B2" s="3"/>
    </row>
    <row r="3" spans="1:7" ht="15.75" x14ac:dyDescent="0.25">
      <c r="A3" s="100"/>
      <c r="B3" s="3" t="s">
        <v>48</v>
      </c>
      <c r="C3" s="3"/>
      <c r="D3" s="3"/>
    </row>
    <row r="4" spans="1:7" x14ac:dyDescent="0.2">
      <c r="A4" t="s">
        <v>0</v>
      </c>
      <c r="D4" s="7" t="s">
        <v>0</v>
      </c>
    </row>
    <row r="5" spans="1:7" ht="15" x14ac:dyDescent="0.25">
      <c r="A5" s="63" t="s">
        <v>26</v>
      </c>
      <c r="B5" s="63">
        <f>'Ann Sess'!B5</f>
        <v>2025</v>
      </c>
      <c r="C5" s="63">
        <f>'Ann Sess'!C5</f>
        <v>2026</v>
      </c>
      <c r="D5" s="4" t="s">
        <v>44</v>
      </c>
      <c r="E5" s="55" t="s">
        <v>44</v>
      </c>
    </row>
    <row r="6" spans="1:7" ht="15" x14ac:dyDescent="0.25">
      <c r="A6" s="46" t="s">
        <v>210</v>
      </c>
      <c r="B6" s="46" t="s">
        <v>43</v>
      </c>
      <c r="C6" s="46" t="s">
        <v>120</v>
      </c>
      <c r="D6" s="5" t="s">
        <v>45</v>
      </c>
      <c r="E6" s="56" t="s">
        <v>46</v>
      </c>
    </row>
    <row r="7" spans="1:7" x14ac:dyDescent="0.2">
      <c r="A7" s="145"/>
      <c r="B7" s="2"/>
      <c r="C7" s="2"/>
      <c r="D7" s="2"/>
      <c r="E7" s="50"/>
    </row>
    <row r="8" spans="1:7" x14ac:dyDescent="0.2">
      <c r="A8" s="6"/>
      <c r="B8" s="2"/>
      <c r="C8" s="2"/>
      <c r="D8" s="2"/>
      <c r="E8" s="6"/>
    </row>
    <row r="9" spans="1:7" x14ac:dyDescent="0.2">
      <c r="B9" s="65"/>
      <c r="C9" s="65"/>
      <c r="D9" s="2"/>
      <c r="E9" s="6"/>
    </row>
    <row r="10" spans="1:7" x14ac:dyDescent="0.2">
      <c r="A10" s="145" t="s">
        <v>315</v>
      </c>
      <c r="B10" s="229">
        <v>1069502.56</v>
      </c>
      <c r="C10" s="229">
        <f>ROUND(B10*1.04,0)</f>
        <v>1112283</v>
      </c>
      <c r="D10" s="11">
        <f>C10-B10</f>
        <v>42780.439999999944</v>
      </c>
      <c r="E10" s="51">
        <f>(D10/B10)</f>
        <v>4.0000315660768442E-2</v>
      </c>
      <c r="F10" s="116"/>
      <c r="G10" s="116"/>
    </row>
    <row r="11" spans="1:7" x14ac:dyDescent="0.2">
      <c r="A11" s="6" t="s">
        <v>0</v>
      </c>
      <c r="B11" s="238"/>
      <c r="C11" s="238"/>
      <c r="D11" s="11"/>
      <c r="E11" s="51"/>
      <c r="G11" s="305"/>
    </row>
    <row r="12" spans="1:7" x14ac:dyDescent="0.2">
      <c r="A12" s="144" t="s">
        <v>49</v>
      </c>
      <c r="B12" s="238"/>
      <c r="C12" s="238"/>
      <c r="D12" s="11"/>
      <c r="E12" s="51"/>
      <c r="G12" s="305"/>
    </row>
    <row r="13" spans="1:7" x14ac:dyDescent="0.2">
      <c r="A13" s="58" t="s">
        <v>472</v>
      </c>
      <c r="B13" s="229">
        <v>5301</v>
      </c>
      <c r="C13" s="229">
        <f>ROUNDUP(13*0.0105*14200,0)</f>
        <v>1939</v>
      </c>
      <c r="D13" s="11">
        <f>C13-B13</f>
        <v>-3362</v>
      </c>
      <c r="E13" s="51">
        <f>(D13/B13)</f>
        <v>-0.63421995849839652</v>
      </c>
      <c r="F13" s="35"/>
    </row>
    <row r="14" spans="1:7" x14ac:dyDescent="0.2">
      <c r="A14" s="6" t="s">
        <v>168</v>
      </c>
      <c r="B14" s="229">
        <v>573.29999999999995</v>
      </c>
      <c r="C14" s="229">
        <f>0.0063*13*7000</f>
        <v>573.29999999999995</v>
      </c>
      <c r="D14" s="11">
        <f>C14-B14</f>
        <v>0</v>
      </c>
      <c r="E14" s="51">
        <f>(D14/B14)</f>
        <v>0</v>
      </c>
      <c r="F14" s="35"/>
    </row>
    <row r="15" spans="1:7" x14ac:dyDescent="0.2">
      <c r="A15" s="6" t="s">
        <v>145</v>
      </c>
      <c r="B15" s="87">
        <v>81817</v>
      </c>
      <c r="C15" s="87">
        <f>ROUNDUP(C10*0.0765,0)</f>
        <v>85090</v>
      </c>
      <c r="D15" s="155">
        <f>C15-B15</f>
        <v>3273</v>
      </c>
      <c r="E15" s="139">
        <f>(D15/B15)</f>
        <v>4.0003911167605752E-2</v>
      </c>
      <c r="F15" s="332"/>
    </row>
    <row r="16" spans="1:7" x14ac:dyDescent="0.2">
      <c r="A16" s="6"/>
      <c r="B16" s="322">
        <f>SUM(B13:B15)</f>
        <v>87691.3</v>
      </c>
      <c r="C16" s="322">
        <f>SUM(C13:C15)</f>
        <v>87602.3</v>
      </c>
      <c r="D16" s="88">
        <f>SUM(D13:D15)</f>
        <v>-89</v>
      </c>
      <c r="E16" s="51">
        <f>(D16/B16)</f>
        <v>-1.0149239434242621E-3</v>
      </c>
      <c r="F16" s="38"/>
      <c r="G16" s="38"/>
    </row>
    <row r="17" spans="1:6" x14ac:dyDescent="0.2">
      <c r="A17" s="6"/>
      <c r="B17" s="227"/>
      <c r="C17" s="227"/>
      <c r="D17" s="11"/>
      <c r="E17" s="51"/>
    </row>
    <row r="18" spans="1:6" x14ac:dyDescent="0.2">
      <c r="A18" s="144" t="s">
        <v>331</v>
      </c>
      <c r="B18" s="227"/>
      <c r="C18" s="227"/>
      <c r="D18" s="11"/>
      <c r="E18" s="51"/>
    </row>
    <row r="19" spans="1:6" x14ac:dyDescent="0.2">
      <c r="A19" s="6" t="s">
        <v>332</v>
      </c>
      <c r="B19" s="229">
        <v>93600</v>
      </c>
      <c r="C19" s="229">
        <f>(C10-70000)*0.1</f>
        <v>104228.3</v>
      </c>
      <c r="D19" s="11">
        <f>C19-B19</f>
        <v>10628.300000000003</v>
      </c>
      <c r="E19" s="51">
        <f>(D19/B19)</f>
        <v>0.1135502136752137</v>
      </c>
      <c r="F19" s="356"/>
    </row>
    <row r="20" spans="1:6" x14ac:dyDescent="0.2">
      <c r="A20" s="58" t="s">
        <v>432</v>
      </c>
      <c r="B20" s="304">
        <v>3000</v>
      </c>
      <c r="C20" s="304">
        <v>0</v>
      </c>
      <c r="D20" s="11">
        <f>C20-B20</f>
        <v>-3000</v>
      </c>
      <c r="E20" s="51">
        <f>(D20/B20)</f>
        <v>-1</v>
      </c>
    </row>
    <row r="21" spans="1:6" x14ac:dyDescent="0.2">
      <c r="A21" s="6" t="s">
        <v>50</v>
      </c>
      <c r="B21" s="228">
        <v>2000</v>
      </c>
      <c r="C21" s="228">
        <v>0</v>
      </c>
      <c r="D21" s="155">
        <f>C21-B21</f>
        <v>-2000</v>
      </c>
      <c r="E21" s="139">
        <f>(D21/B21)</f>
        <v>-1</v>
      </c>
    </row>
    <row r="22" spans="1:6" x14ac:dyDescent="0.2">
      <c r="A22" s="6" t="s">
        <v>0</v>
      </c>
      <c r="B22" s="322">
        <f>SUM(B19:B21)</f>
        <v>98600</v>
      </c>
      <c r="C22" s="322">
        <f>SUM(C19:C21)</f>
        <v>104228.3</v>
      </c>
      <c r="D22" s="88">
        <f>SUM(D19:D21)</f>
        <v>5628.3000000000029</v>
      </c>
      <c r="E22" s="51">
        <f>(D22/B22)</f>
        <v>5.7082150101419905E-2</v>
      </c>
      <c r="F22" s="38"/>
    </row>
    <row r="23" spans="1:6" x14ac:dyDescent="0.2">
      <c r="A23" s="6"/>
      <c r="B23" s="227"/>
      <c r="C23" s="227"/>
      <c r="D23" s="11"/>
      <c r="E23" s="51"/>
      <c r="F23" s="305"/>
    </row>
    <row r="24" spans="1:6" x14ac:dyDescent="0.2">
      <c r="A24" s="144" t="s">
        <v>51</v>
      </c>
      <c r="B24" s="227"/>
      <c r="C24" s="227"/>
      <c r="D24" s="11" t="s">
        <v>0</v>
      </c>
      <c r="E24" s="51" t="s">
        <v>62</v>
      </c>
      <c r="F24" s="370"/>
    </row>
    <row r="25" spans="1:6" x14ac:dyDescent="0.2">
      <c r="A25" s="6" t="s">
        <v>125</v>
      </c>
      <c r="B25" s="229">
        <v>102546</v>
      </c>
      <c r="C25" s="229">
        <f>(B25)*1.055-338</f>
        <v>107848.03</v>
      </c>
      <c r="D25" s="11">
        <f>C25-B25</f>
        <v>5302.0299999999988</v>
      </c>
      <c r="E25" s="51">
        <f>(D25/B25)</f>
        <v>5.1703918241569627E-2</v>
      </c>
    </row>
    <row r="26" spans="1:6" x14ac:dyDescent="0.2">
      <c r="A26" s="58" t="s">
        <v>367</v>
      </c>
      <c r="B26" s="304">
        <v>7500</v>
      </c>
      <c r="C26" s="304">
        <v>10000</v>
      </c>
      <c r="D26" s="11">
        <f>C26-B26</f>
        <v>2500</v>
      </c>
      <c r="E26" s="51">
        <f>(D26/B26)</f>
        <v>0.33333333333333331</v>
      </c>
      <c r="F26" s="35"/>
    </row>
    <row r="27" spans="1:6" x14ac:dyDescent="0.2">
      <c r="A27" s="6" t="s">
        <v>126</v>
      </c>
      <c r="B27" s="304">
        <v>11000</v>
      </c>
      <c r="C27" s="304">
        <v>10000</v>
      </c>
      <c r="D27" s="11">
        <f>C27-B27</f>
        <v>-1000</v>
      </c>
      <c r="E27" s="51">
        <f>(D27/B27)</f>
        <v>-9.0909090909090912E-2</v>
      </c>
    </row>
    <row r="28" spans="1:6" x14ac:dyDescent="0.2">
      <c r="A28" s="6" t="s">
        <v>302</v>
      </c>
      <c r="B28" s="228">
        <v>1500</v>
      </c>
      <c r="C28" s="228">
        <v>2500</v>
      </c>
      <c r="D28" s="155">
        <f>C28-B28</f>
        <v>1000</v>
      </c>
      <c r="E28" s="139">
        <f>(D28/B28)</f>
        <v>0.66666666666666663</v>
      </c>
      <c r="F28" s="35"/>
    </row>
    <row r="29" spans="1:6" x14ac:dyDescent="0.2">
      <c r="A29" s="6"/>
      <c r="B29" s="329">
        <f>SUM(B25:B28)</f>
        <v>122546</v>
      </c>
      <c r="C29" s="329">
        <f>SUM(C25:C28)</f>
        <v>130348.03</v>
      </c>
      <c r="D29" s="88">
        <f>SUM(D25:D28)</f>
        <v>7802.0299999999988</v>
      </c>
      <c r="E29" s="51">
        <f>(D29/B29)</f>
        <v>6.3666133533530261E-2</v>
      </c>
    </row>
    <row r="30" spans="1:6" x14ac:dyDescent="0.2">
      <c r="A30" s="6"/>
      <c r="B30" s="329"/>
      <c r="C30" s="329"/>
      <c r="D30" s="11"/>
      <c r="E30" s="51"/>
    </row>
    <row r="31" spans="1:6" x14ac:dyDescent="0.2">
      <c r="A31" s="144" t="s">
        <v>52</v>
      </c>
      <c r="B31" s="329"/>
      <c r="C31" s="329"/>
      <c r="D31" s="11"/>
      <c r="E31" s="51"/>
    </row>
    <row r="32" spans="1:6" x14ac:dyDescent="0.2">
      <c r="A32" s="58" t="s">
        <v>471</v>
      </c>
      <c r="B32" s="304">
        <v>4500</v>
      </c>
      <c r="C32" s="304">
        <v>1600</v>
      </c>
      <c r="D32" s="11">
        <f t="shared" ref="D32:D38" si="0">C32-B32</f>
        <v>-2900</v>
      </c>
      <c r="E32" s="51">
        <f t="shared" ref="E32:E39" si="1">(D32/B32)</f>
        <v>-0.64444444444444449</v>
      </c>
    </row>
    <row r="33" spans="1:6" x14ac:dyDescent="0.2">
      <c r="A33" s="58" t="s">
        <v>138</v>
      </c>
      <c r="B33" s="304">
        <v>20000</v>
      </c>
      <c r="C33" s="304">
        <v>20000</v>
      </c>
      <c r="D33" s="395">
        <f t="shared" si="0"/>
        <v>0</v>
      </c>
      <c r="E33" s="51">
        <f t="shared" si="1"/>
        <v>0</v>
      </c>
    </row>
    <row r="34" spans="1:6" x14ac:dyDescent="0.2">
      <c r="A34" s="6" t="s">
        <v>53</v>
      </c>
      <c r="B34" s="304">
        <v>2600</v>
      </c>
      <c r="C34" s="304">
        <v>2900</v>
      </c>
      <c r="D34" s="11">
        <f t="shared" si="0"/>
        <v>300</v>
      </c>
      <c r="E34" s="51">
        <f t="shared" si="1"/>
        <v>0.11538461538461539</v>
      </c>
    </row>
    <row r="35" spans="1:6" x14ac:dyDescent="0.2">
      <c r="A35" s="6" t="s">
        <v>54</v>
      </c>
      <c r="B35" s="304">
        <v>3300</v>
      </c>
      <c r="C35" s="304">
        <v>2400</v>
      </c>
      <c r="D35" s="11">
        <f t="shared" si="0"/>
        <v>-900</v>
      </c>
      <c r="E35" s="51">
        <f t="shared" si="1"/>
        <v>-0.27272727272727271</v>
      </c>
    </row>
    <row r="36" spans="1:6" x14ac:dyDescent="0.2">
      <c r="A36" s="6" t="s">
        <v>176</v>
      </c>
      <c r="B36" s="304">
        <v>1200</v>
      </c>
      <c r="C36" s="304">
        <v>2500</v>
      </c>
      <c r="D36" s="11">
        <f t="shared" si="0"/>
        <v>1300</v>
      </c>
      <c r="E36" s="51">
        <f t="shared" si="1"/>
        <v>1.0833333333333333</v>
      </c>
    </row>
    <row r="37" spans="1:6" x14ac:dyDescent="0.2">
      <c r="A37" s="6" t="s">
        <v>381</v>
      </c>
      <c r="B37" s="304">
        <v>1200</v>
      </c>
      <c r="C37" s="304">
        <v>2900</v>
      </c>
      <c r="D37" s="11">
        <f t="shared" si="0"/>
        <v>1700</v>
      </c>
      <c r="E37" s="51">
        <f t="shared" si="1"/>
        <v>1.4166666666666667</v>
      </c>
    </row>
    <row r="38" spans="1:6" x14ac:dyDescent="0.2">
      <c r="A38" s="6" t="s">
        <v>55</v>
      </c>
      <c r="B38" s="228">
        <v>1020</v>
      </c>
      <c r="C38" s="228">
        <v>0</v>
      </c>
      <c r="D38" s="155">
        <f t="shared" si="0"/>
        <v>-1020</v>
      </c>
      <c r="E38" s="139">
        <f t="shared" si="1"/>
        <v>-1</v>
      </c>
    </row>
    <row r="39" spans="1:6" x14ac:dyDescent="0.2">
      <c r="A39" s="2"/>
      <c r="B39" s="304">
        <f>SUM(B32:B38)</f>
        <v>33820</v>
      </c>
      <c r="C39" s="304">
        <f>SUM(C32:C38)</f>
        <v>32300</v>
      </c>
      <c r="D39" s="88">
        <f>SUM(D32:D38)</f>
        <v>-1520</v>
      </c>
      <c r="E39" s="51">
        <f t="shared" si="1"/>
        <v>-4.49438202247191E-2</v>
      </c>
      <c r="F39" s="35"/>
    </row>
    <row r="40" spans="1:6" x14ac:dyDescent="0.2">
      <c r="A40" s="2"/>
      <c r="B40" s="227"/>
      <c r="C40" s="227"/>
      <c r="D40" s="11"/>
      <c r="E40" s="51"/>
    </row>
    <row r="41" spans="1:6" x14ac:dyDescent="0.2">
      <c r="A41" s="150" t="s">
        <v>365</v>
      </c>
      <c r="B41" s="227"/>
      <c r="C41" s="227"/>
      <c r="D41" s="11"/>
      <c r="E41" s="51"/>
    </row>
    <row r="42" spans="1:6" x14ac:dyDescent="0.2">
      <c r="A42" s="2" t="s">
        <v>389</v>
      </c>
      <c r="B42" s="304">
        <v>6000</v>
      </c>
      <c r="C42" s="304">
        <v>6800</v>
      </c>
      <c r="D42" s="30">
        <f>C42-B42</f>
        <v>800</v>
      </c>
      <c r="E42" s="51">
        <f>(D42/B42)</f>
        <v>0.13333333333333333</v>
      </c>
    </row>
    <row r="43" spans="1:6" x14ac:dyDescent="0.2">
      <c r="A43" s="151" t="s">
        <v>144</v>
      </c>
      <c r="B43" s="393">
        <v>6000</v>
      </c>
      <c r="C43" s="393">
        <v>5600</v>
      </c>
      <c r="D43" s="161">
        <f>C43-B43</f>
        <v>-400</v>
      </c>
      <c r="E43" s="102">
        <f>(D43/B43)</f>
        <v>-6.6666666666666666E-2</v>
      </c>
    </row>
    <row r="44" spans="1:6" x14ac:dyDescent="0.2">
      <c r="A44" s="2"/>
      <c r="B44" s="227">
        <f>SUM(B42:B43)</f>
        <v>12000</v>
      </c>
      <c r="C44" s="227">
        <f>SUM(C42:C43)</f>
        <v>12400</v>
      </c>
      <c r="D44" s="88">
        <f>SUM(D42:D43)</f>
        <v>400</v>
      </c>
      <c r="E44" s="51">
        <f>(D44/B44)</f>
        <v>3.3333333333333333E-2</v>
      </c>
    </row>
    <row r="45" spans="1:6" x14ac:dyDescent="0.2">
      <c r="A45" s="2"/>
      <c r="B45" s="307"/>
      <c r="C45" s="302"/>
      <c r="D45" s="11"/>
      <c r="E45" s="51"/>
    </row>
    <row r="46" spans="1:6" ht="15" x14ac:dyDescent="0.25">
      <c r="A46" s="77" t="s">
        <v>64</v>
      </c>
      <c r="B46" s="216">
        <f>SUM(B44+B39+B29+B22+B16+B10)</f>
        <v>1424159.86</v>
      </c>
      <c r="C46" s="216">
        <f>SUM(C44+C39+C29+C22+C16+C10)</f>
        <v>1479161.63</v>
      </c>
      <c r="D46" s="217">
        <f>SUM(D44+D39+D29+D22+D16+D10)</f>
        <v>55001.769999999946</v>
      </c>
      <c r="E46" s="173">
        <f>(D46/B46)</f>
        <v>3.8620502897757515E-2</v>
      </c>
    </row>
    <row r="47" spans="1:6" x14ac:dyDescent="0.2">
      <c r="A47" s="146"/>
      <c r="B47" s="47"/>
      <c r="C47" s="212"/>
      <c r="D47" s="47"/>
      <c r="E47" s="193"/>
    </row>
  </sheetData>
  <phoneticPr fontId="0" type="noConversion"/>
  <pageMargins left="0.75" right="0.75" top="1" bottom="1" header="0.5" footer="0.5"/>
  <pageSetup orientation="portrait" r:id="rId1"/>
  <headerFooter alignWithMargins="0"/>
  <legacy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H40"/>
  <sheetViews>
    <sheetView showGridLines="0" zoomScaleNormal="100" workbookViewId="0">
      <selection activeCell="G1" sqref="G1:G1048576"/>
    </sheetView>
  </sheetViews>
  <sheetFormatPr defaultColWidth="8.7109375" defaultRowHeight="12.75" x14ac:dyDescent="0.2"/>
  <cols>
    <col min="1" max="1" width="28.28515625" bestFit="1" customWidth="1"/>
    <col min="2" max="2" width="10.7109375" customWidth="1"/>
    <col min="3" max="3" width="10.7109375" bestFit="1" customWidth="1"/>
    <col min="4" max="4" width="11.42578125" bestFit="1" customWidth="1"/>
    <col min="5" max="5" width="9.28515625" bestFit="1" customWidth="1"/>
    <col min="8" max="8" width="10.7109375" bestFit="1" customWidth="1"/>
  </cols>
  <sheetData>
    <row r="1" spans="1:5" ht="15.75" x14ac:dyDescent="0.25">
      <c r="A1" s="3" t="str">
        <f>'Ann Sess'!A1</f>
        <v>2026 Budget</v>
      </c>
      <c r="B1" s="3" t="s">
        <v>8</v>
      </c>
      <c r="C1" s="3"/>
      <c r="D1" s="3"/>
    </row>
    <row r="2" spans="1:5" ht="15.75" x14ac:dyDescent="0.25">
      <c r="A2" s="359" t="str">
        <f>'Ann Sess'!A2</f>
        <v>1st Draft</v>
      </c>
      <c r="B2" s="3"/>
    </row>
    <row r="3" spans="1:5" ht="15.75" x14ac:dyDescent="0.25">
      <c r="A3" s="100"/>
      <c r="B3" s="3" t="s">
        <v>48</v>
      </c>
      <c r="C3" s="3"/>
      <c r="D3" s="3"/>
    </row>
    <row r="4" spans="1:5" x14ac:dyDescent="0.2">
      <c r="A4" s="7"/>
      <c r="D4" s="7" t="s">
        <v>0</v>
      </c>
    </row>
    <row r="5" spans="1:5" ht="15" x14ac:dyDescent="0.25">
      <c r="A5" s="63" t="s">
        <v>26</v>
      </c>
      <c r="B5" s="63">
        <f>'Ann Sess'!B5</f>
        <v>2025</v>
      </c>
      <c r="C5" s="63">
        <f>'Ann Sess'!C5</f>
        <v>2026</v>
      </c>
      <c r="D5" s="4" t="s">
        <v>44</v>
      </c>
      <c r="E5" s="55" t="s">
        <v>44</v>
      </c>
    </row>
    <row r="6" spans="1:5" ht="15" x14ac:dyDescent="0.25">
      <c r="A6" s="46" t="s">
        <v>210</v>
      </c>
      <c r="B6" s="46" t="s">
        <v>43</v>
      </c>
      <c r="C6" s="46" t="s">
        <v>120</v>
      </c>
      <c r="D6" s="5" t="s">
        <v>45</v>
      </c>
      <c r="E6" s="56" t="s">
        <v>46</v>
      </c>
    </row>
    <row r="7" spans="1:5" x14ac:dyDescent="0.2">
      <c r="A7" s="145" t="s">
        <v>67</v>
      </c>
      <c r="B7" s="201">
        <f>+'ind costs(1)'!B46</f>
        <v>1424159.86</v>
      </c>
      <c r="C7" s="201">
        <f>+'ind costs(1)'!C46</f>
        <v>1479161.63</v>
      </c>
      <c r="D7" s="78">
        <f>C7-B7</f>
        <v>55001.769999999786</v>
      </c>
      <c r="E7" s="103">
        <f t="shared" ref="E7:E30" si="0">(D7/B7)</f>
        <v>3.8620502897757404E-2</v>
      </c>
    </row>
    <row r="8" spans="1:5" x14ac:dyDescent="0.2">
      <c r="A8" s="6" t="s">
        <v>0</v>
      </c>
      <c r="B8" s="75"/>
      <c r="C8" s="75"/>
      <c r="D8" s="11"/>
      <c r="E8" s="51"/>
    </row>
    <row r="9" spans="1:5" x14ac:dyDescent="0.2">
      <c r="A9" s="150" t="s">
        <v>56</v>
      </c>
      <c r="B9" s="75"/>
      <c r="C9" s="75"/>
      <c r="D9" s="11"/>
      <c r="E9" s="51"/>
    </row>
    <row r="10" spans="1:5" x14ac:dyDescent="0.2">
      <c r="A10" s="2" t="s">
        <v>57</v>
      </c>
      <c r="B10" s="229">
        <v>14000</v>
      </c>
      <c r="C10" s="229">
        <v>14000</v>
      </c>
      <c r="D10" s="11">
        <f>C10-B10</f>
        <v>0</v>
      </c>
      <c r="E10" s="51">
        <f t="shared" si="0"/>
        <v>0</v>
      </c>
    </row>
    <row r="11" spans="1:5" x14ac:dyDescent="0.2">
      <c r="A11" s="2" t="s">
        <v>58</v>
      </c>
      <c r="B11" s="229">
        <v>19000</v>
      </c>
      <c r="C11" s="229">
        <v>22000</v>
      </c>
      <c r="D11" s="11">
        <f>C11-B11</f>
        <v>3000</v>
      </c>
      <c r="E11" s="51">
        <f t="shared" si="0"/>
        <v>0.15789473684210525</v>
      </c>
    </row>
    <row r="12" spans="1:5" x14ac:dyDescent="0.2">
      <c r="A12" s="2" t="s">
        <v>59</v>
      </c>
      <c r="B12" s="229">
        <v>14000</v>
      </c>
      <c r="C12" s="229">
        <v>10000</v>
      </c>
      <c r="D12" s="11">
        <f>C12-B12</f>
        <v>-4000</v>
      </c>
      <c r="E12" s="51">
        <f t="shared" si="0"/>
        <v>-0.2857142857142857</v>
      </c>
    </row>
    <row r="13" spans="1:5" x14ac:dyDescent="0.2">
      <c r="A13" s="2" t="s">
        <v>60</v>
      </c>
      <c r="B13" s="228">
        <v>8600</v>
      </c>
      <c r="C13" s="228">
        <v>8600</v>
      </c>
      <c r="D13" s="155">
        <f>C13-B13</f>
        <v>0</v>
      </c>
      <c r="E13" s="102">
        <f t="shared" si="0"/>
        <v>0</v>
      </c>
    </row>
    <row r="14" spans="1:5" x14ac:dyDescent="0.2">
      <c r="A14" s="6"/>
      <c r="B14" s="229">
        <f>SUM(B10:B13)</f>
        <v>55600</v>
      </c>
      <c r="C14" s="229">
        <f>SUM(C10:C13)</f>
        <v>54600</v>
      </c>
      <c r="D14" s="88">
        <f>SUM(D10:D13)</f>
        <v>-1000</v>
      </c>
      <c r="E14" s="51">
        <f>(D14/B14)</f>
        <v>-1.7985611510791366E-2</v>
      </c>
    </row>
    <row r="15" spans="1:5" x14ac:dyDescent="0.2">
      <c r="A15" s="2"/>
      <c r="B15" s="227"/>
      <c r="C15" s="227"/>
      <c r="D15" s="11"/>
      <c r="E15" s="51"/>
    </row>
    <row r="16" spans="1:5" x14ac:dyDescent="0.2">
      <c r="A16" s="150" t="s">
        <v>61</v>
      </c>
      <c r="B16" s="227"/>
      <c r="C16" s="227"/>
      <c r="D16" s="11"/>
      <c r="E16" s="51"/>
    </row>
    <row r="17" spans="1:8" x14ac:dyDescent="0.2">
      <c r="A17" s="2" t="s">
        <v>127</v>
      </c>
      <c r="B17" s="304">
        <v>8000</v>
      </c>
      <c r="C17" s="304">
        <v>8600</v>
      </c>
      <c r="D17" s="11">
        <f t="shared" ref="D17:D25" si="1">C17-B17</f>
        <v>600</v>
      </c>
      <c r="E17" s="51">
        <f t="shared" si="0"/>
        <v>7.4999999999999997E-2</v>
      </c>
      <c r="G17" s="116"/>
      <c r="H17" s="116"/>
    </row>
    <row r="18" spans="1:8" x14ac:dyDescent="0.2">
      <c r="A18" s="2" t="s">
        <v>128</v>
      </c>
      <c r="B18" s="304">
        <v>15000</v>
      </c>
      <c r="C18" s="304">
        <v>16000</v>
      </c>
      <c r="D18" s="11">
        <f t="shared" si="1"/>
        <v>1000</v>
      </c>
      <c r="E18" s="51">
        <f t="shared" si="0"/>
        <v>6.6666666666666666E-2</v>
      </c>
      <c r="G18" s="116"/>
      <c r="H18" s="116"/>
    </row>
    <row r="19" spans="1:8" x14ac:dyDescent="0.2">
      <c r="A19" s="2" t="s">
        <v>390</v>
      </c>
      <c r="B19" s="304">
        <v>800</v>
      </c>
      <c r="C19" s="304">
        <v>800</v>
      </c>
      <c r="D19" s="11">
        <f t="shared" si="1"/>
        <v>0</v>
      </c>
      <c r="E19" s="51">
        <f t="shared" si="0"/>
        <v>0</v>
      </c>
      <c r="G19" s="116"/>
      <c r="H19" s="116"/>
    </row>
    <row r="20" spans="1:8" x14ac:dyDescent="0.2">
      <c r="A20" s="2" t="s">
        <v>129</v>
      </c>
      <c r="B20" s="304">
        <v>1000</v>
      </c>
      <c r="C20" s="304">
        <v>1200</v>
      </c>
      <c r="D20" s="11">
        <f t="shared" si="1"/>
        <v>200</v>
      </c>
      <c r="E20" s="51">
        <f t="shared" si="0"/>
        <v>0.2</v>
      </c>
      <c r="G20" s="116"/>
      <c r="H20" s="116"/>
    </row>
    <row r="21" spans="1:8" x14ac:dyDescent="0.2">
      <c r="A21" s="2" t="s">
        <v>130</v>
      </c>
      <c r="B21" s="304">
        <v>0</v>
      </c>
      <c r="C21" s="304">
        <v>0</v>
      </c>
      <c r="D21" s="11">
        <f t="shared" si="1"/>
        <v>0</v>
      </c>
      <c r="E21" s="51" t="e">
        <f t="shared" si="0"/>
        <v>#DIV/0!</v>
      </c>
      <c r="G21" s="116"/>
      <c r="H21" s="116"/>
    </row>
    <row r="22" spans="1:8" x14ac:dyDescent="0.2">
      <c r="A22" s="2" t="s">
        <v>131</v>
      </c>
      <c r="B22" s="304">
        <v>2000</v>
      </c>
      <c r="C22" s="304">
        <v>1500</v>
      </c>
      <c r="D22" s="11">
        <f t="shared" si="1"/>
        <v>-500</v>
      </c>
      <c r="E22" s="51">
        <f t="shared" si="0"/>
        <v>-0.25</v>
      </c>
      <c r="G22" s="116"/>
      <c r="H22" s="116"/>
    </row>
    <row r="23" spans="1:8" x14ac:dyDescent="0.2">
      <c r="A23" s="2" t="s">
        <v>132</v>
      </c>
      <c r="B23" s="304">
        <v>6000</v>
      </c>
      <c r="C23" s="304">
        <v>6000</v>
      </c>
      <c r="D23" s="11">
        <f t="shared" si="1"/>
        <v>0</v>
      </c>
      <c r="E23" s="51">
        <f t="shared" si="0"/>
        <v>0</v>
      </c>
      <c r="G23" s="116"/>
      <c r="H23" s="116"/>
    </row>
    <row r="24" spans="1:8" x14ac:dyDescent="0.2">
      <c r="A24" s="2" t="s">
        <v>133</v>
      </c>
      <c r="B24" s="304">
        <v>4000</v>
      </c>
      <c r="C24" s="304">
        <v>4000</v>
      </c>
      <c r="D24" s="11">
        <f t="shared" si="1"/>
        <v>0</v>
      </c>
      <c r="E24" s="51">
        <f t="shared" si="0"/>
        <v>0</v>
      </c>
      <c r="G24" s="116"/>
      <c r="H24" s="116"/>
    </row>
    <row r="25" spans="1:8" x14ac:dyDescent="0.2">
      <c r="A25" s="2" t="s">
        <v>134</v>
      </c>
      <c r="B25" s="228">
        <v>3500</v>
      </c>
      <c r="C25" s="228">
        <v>3500</v>
      </c>
      <c r="D25" s="155">
        <f t="shared" si="1"/>
        <v>0</v>
      </c>
      <c r="E25" s="139">
        <f t="shared" si="0"/>
        <v>0</v>
      </c>
      <c r="G25" s="116"/>
      <c r="H25" s="116"/>
    </row>
    <row r="26" spans="1:8" x14ac:dyDescent="0.2">
      <c r="A26" s="6"/>
      <c r="B26" s="227">
        <f>SUM(B17:B25)</f>
        <v>40300</v>
      </c>
      <c r="C26" s="227">
        <f>SUM(C17:C25)</f>
        <v>41600</v>
      </c>
      <c r="D26" s="88">
        <f>SUM(D17:D25)</f>
        <v>1300</v>
      </c>
      <c r="E26" s="51">
        <f t="shared" si="0"/>
        <v>3.2258064516129031E-2</v>
      </c>
      <c r="G26" s="116"/>
      <c r="H26" s="116"/>
    </row>
    <row r="27" spans="1:8" x14ac:dyDescent="0.2">
      <c r="A27" s="6"/>
      <c r="B27" s="88"/>
      <c r="C27" s="88"/>
      <c r="D27" s="11"/>
      <c r="E27" s="51"/>
    </row>
    <row r="28" spans="1:8" x14ac:dyDescent="0.2">
      <c r="A28" s="58"/>
      <c r="B28" s="110"/>
      <c r="C28" s="110"/>
      <c r="D28" s="11"/>
      <c r="E28" s="51"/>
    </row>
    <row r="29" spans="1:8" x14ac:dyDescent="0.2">
      <c r="A29" s="58"/>
      <c r="B29" s="110"/>
      <c r="C29" s="110"/>
      <c r="D29" s="11"/>
      <c r="E29" s="51"/>
    </row>
    <row r="30" spans="1:8" ht="15.75" thickBot="1" x14ac:dyDescent="0.3">
      <c r="A30" s="166" t="s">
        <v>22</v>
      </c>
      <c r="B30" s="218">
        <f>SUM(B26+B14+B7)</f>
        <v>1520059.86</v>
      </c>
      <c r="C30" s="218">
        <f>SUM(C26+C14+C7)</f>
        <v>1575361.63</v>
      </c>
      <c r="D30" s="218">
        <f>SUM(D26+D14+D7)</f>
        <v>55301.769999999786</v>
      </c>
      <c r="E30" s="333">
        <f t="shared" si="0"/>
        <v>3.6381310667594223E-2</v>
      </c>
    </row>
    <row r="31" spans="1:8" ht="13.5" thickTop="1" x14ac:dyDescent="0.2">
      <c r="A31" s="219"/>
      <c r="B31" s="212"/>
      <c r="C31" s="212"/>
      <c r="D31" s="161"/>
      <c r="E31" s="193"/>
    </row>
    <row r="32" spans="1:8" x14ac:dyDescent="0.2">
      <c r="B32" s="38"/>
      <c r="C32" s="38"/>
    </row>
    <row r="33" spans="1:3" x14ac:dyDescent="0.2">
      <c r="B33" s="38"/>
      <c r="C33" s="38"/>
    </row>
    <row r="34" spans="1:3" x14ac:dyDescent="0.2">
      <c r="B34" s="66"/>
      <c r="C34" s="38"/>
    </row>
    <row r="35" spans="1:3" x14ac:dyDescent="0.2">
      <c r="A35" t="s">
        <v>0</v>
      </c>
      <c r="B35" s="71" t="s">
        <v>0</v>
      </c>
      <c r="C35" s="38" t="s">
        <v>0</v>
      </c>
    </row>
    <row r="36" spans="1:3" x14ac:dyDescent="0.2">
      <c r="A36" s="44"/>
      <c r="B36" s="38"/>
      <c r="C36" s="38"/>
    </row>
    <row r="37" spans="1:3" ht="15" x14ac:dyDescent="0.35">
      <c r="A37" s="35"/>
      <c r="B37" s="72"/>
      <c r="C37" s="72"/>
    </row>
    <row r="38" spans="1:3" x14ac:dyDescent="0.2">
      <c r="B38" s="38"/>
      <c r="C38" s="38"/>
    </row>
    <row r="39" spans="1:3" x14ac:dyDescent="0.2">
      <c r="B39" s="38"/>
      <c r="C39" s="38"/>
    </row>
    <row r="40" spans="1:3" x14ac:dyDescent="0.2">
      <c r="B40" s="66"/>
      <c r="C40" s="73"/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L55"/>
  <sheetViews>
    <sheetView showGridLines="0" topLeftCell="A17" zoomScaleNormal="100" workbookViewId="0">
      <selection activeCell="G1" sqref="G1:G1048576"/>
    </sheetView>
  </sheetViews>
  <sheetFormatPr defaultColWidth="8.7109375" defaultRowHeight="12.75" x14ac:dyDescent="0.2"/>
  <cols>
    <col min="1" max="1" width="41.28515625" bestFit="1" customWidth="1"/>
    <col min="2" max="3" width="10.7109375" customWidth="1"/>
    <col min="4" max="4" width="10.28515625" bestFit="1" customWidth="1"/>
    <col min="5" max="5" width="9.7109375" bestFit="1" customWidth="1"/>
    <col min="10" max="10" width="11.28515625" bestFit="1" customWidth="1"/>
  </cols>
  <sheetData>
    <row r="1" spans="1:12" ht="15.75" x14ac:dyDescent="0.25">
      <c r="A1" s="3" t="s">
        <v>490</v>
      </c>
      <c r="B1" s="3" t="s">
        <v>136</v>
      </c>
      <c r="C1" s="3"/>
      <c r="D1" s="74"/>
    </row>
    <row r="2" spans="1:12" ht="15.75" x14ac:dyDescent="0.25">
      <c r="A2" s="359" t="str">
        <f>Income!A4</f>
        <v>1st Draft</v>
      </c>
      <c r="B2" s="3"/>
      <c r="C2" s="34"/>
      <c r="D2" s="40"/>
    </row>
    <row r="3" spans="1:12" ht="15.75" x14ac:dyDescent="0.25">
      <c r="A3" s="100"/>
      <c r="B3" s="3" t="s">
        <v>25</v>
      </c>
      <c r="D3" s="9"/>
    </row>
    <row r="4" spans="1:12" ht="15.75" customHeight="1" x14ac:dyDescent="0.2">
      <c r="B4" s="417" t="s">
        <v>521</v>
      </c>
      <c r="C4" s="418"/>
      <c r="D4" s="418"/>
      <c r="E4" s="418"/>
    </row>
    <row r="5" spans="1:12" ht="15" x14ac:dyDescent="0.25">
      <c r="A5" s="63" t="s">
        <v>26</v>
      </c>
      <c r="B5" s="63">
        <v>2025</v>
      </c>
      <c r="C5" s="63">
        <v>2026</v>
      </c>
      <c r="D5" s="4" t="s">
        <v>44</v>
      </c>
      <c r="E5" s="57" t="s">
        <v>44</v>
      </c>
    </row>
    <row r="6" spans="1:12" ht="15" x14ac:dyDescent="0.25">
      <c r="A6" s="46" t="s">
        <v>41</v>
      </c>
      <c r="B6" s="46" t="s">
        <v>43</v>
      </c>
      <c r="C6" s="46" t="s">
        <v>120</v>
      </c>
      <c r="D6" s="46" t="s">
        <v>45</v>
      </c>
      <c r="E6" s="46" t="s">
        <v>46</v>
      </c>
    </row>
    <row r="7" spans="1:12" x14ac:dyDescent="0.2">
      <c r="A7" s="2"/>
      <c r="B7" s="13"/>
      <c r="C7" s="13"/>
      <c r="D7" s="6"/>
      <c r="E7" s="6"/>
    </row>
    <row r="8" spans="1:12" x14ac:dyDescent="0.2">
      <c r="A8" s="144" t="s">
        <v>10</v>
      </c>
      <c r="B8" s="13"/>
      <c r="C8" s="88"/>
      <c r="D8" s="6"/>
      <c r="E8" s="6"/>
    </row>
    <row r="9" spans="1:12" x14ac:dyDescent="0.2">
      <c r="A9" s="58" t="s">
        <v>325</v>
      </c>
      <c r="B9" s="88">
        <v>1960</v>
      </c>
      <c r="C9" s="88">
        <v>0</v>
      </c>
      <c r="D9" s="11">
        <f t="shared" ref="D9:D45" si="0">C9-B9</f>
        <v>-1960</v>
      </c>
      <c r="E9" s="59">
        <f>(D9/B9)</f>
        <v>-1</v>
      </c>
    </row>
    <row r="10" spans="1:12" x14ac:dyDescent="0.2">
      <c r="A10" s="58"/>
      <c r="B10" s="88"/>
      <c r="C10" s="88"/>
      <c r="D10" s="11"/>
      <c r="E10" s="59"/>
      <c r="L10" s="35"/>
    </row>
    <row r="11" spans="1:12" x14ac:dyDescent="0.2">
      <c r="A11" s="58" t="s">
        <v>401</v>
      </c>
      <c r="B11" s="88"/>
      <c r="C11" s="88"/>
      <c r="D11" s="11"/>
      <c r="E11" s="59"/>
      <c r="I11" s="354"/>
      <c r="J11" s="355"/>
    </row>
    <row r="12" spans="1:12" x14ac:dyDescent="0.2">
      <c r="A12" s="58" t="s">
        <v>179</v>
      </c>
      <c r="B12" s="88">
        <v>11850</v>
      </c>
      <c r="C12" s="88">
        <v>9650</v>
      </c>
      <c r="D12" s="11">
        <f>C12-B12</f>
        <v>-2200</v>
      </c>
      <c r="E12" s="59">
        <f t="shared" ref="E12:E17" si="1">(D12/B12)</f>
        <v>-0.18565400843881857</v>
      </c>
      <c r="I12" s="354"/>
      <c r="J12" s="355"/>
    </row>
    <row r="13" spans="1:12" x14ac:dyDescent="0.2">
      <c r="A13" s="58" t="s">
        <v>180</v>
      </c>
      <c r="B13" s="88">
        <v>41550</v>
      </c>
      <c r="C13" s="88">
        <v>35600</v>
      </c>
      <c r="D13" s="11">
        <f t="shared" si="0"/>
        <v>-5950</v>
      </c>
      <c r="E13" s="59">
        <f t="shared" si="1"/>
        <v>-0.14320096269554752</v>
      </c>
      <c r="I13" s="354"/>
      <c r="J13" s="355"/>
    </row>
    <row r="14" spans="1:12" x14ac:dyDescent="0.2">
      <c r="A14" s="6" t="s">
        <v>280</v>
      </c>
      <c r="B14" s="88">
        <v>2100</v>
      </c>
      <c r="C14" s="88">
        <v>2100</v>
      </c>
      <c r="D14" s="11">
        <f t="shared" si="0"/>
        <v>0</v>
      </c>
      <c r="E14" s="59">
        <f t="shared" si="1"/>
        <v>0</v>
      </c>
    </row>
    <row r="15" spans="1:12" x14ac:dyDescent="0.2">
      <c r="A15" s="6" t="s">
        <v>307</v>
      </c>
      <c r="B15" s="108">
        <v>18750</v>
      </c>
      <c r="C15" s="108">
        <v>12625</v>
      </c>
      <c r="D15" s="11">
        <f t="shared" si="0"/>
        <v>-6125</v>
      </c>
      <c r="E15" s="59">
        <f t="shared" si="1"/>
        <v>-0.32666666666666666</v>
      </c>
    </row>
    <row r="16" spans="1:12" x14ac:dyDescent="0.2">
      <c r="A16" s="58" t="s">
        <v>464</v>
      </c>
      <c r="B16" s="87">
        <v>13750</v>
      </c>
      <c r="C16" s="87">
        <v>14250</v>
      </c>
      <c r="D16" s="87">
        <f t="shared" si="0"/>
        <v>500</v>
      </c>
      <c r="E16" s="59">
        <f t="shared" si="1"/>
        <v>3.6363636363636362E-2</v>
      </c>
      <c r="F16" s="35"/>
    </row>
    <row r="17" spans="1:6" x14ac:dyDescent="0.2">
      <c r="A17" s="2"/>
      <c r="B17" s="33">
        <f>SUM(B9:B16)</f>
        <v>89960</v>
      </c>
      <c r="C17" s="33">
        <f>SUM(C9:C16)</f>
        <v>74225</v>
      </c>
      <c r="D17" s="328">
        <f>SUM(D12:D16)</f>
        <v>-13775</v>
      </c>
      <c r="E17" s="141">
        <f t="shared" si="1"/>
        <v>-0.15312361049355269</v>
      </c>
      <c r="F17" s="140"/>
    </row>
    <row r="18" spans="1:6" x14ac:dyDescent="0.2">
      <c r="A18" s="144" t="s">
        <v>11</v>
      </c>
      <c r="B18" s="13"/>
      <c r="C18" s="13"/>
      <c r="D18" s="11"/>
      <c r="E18" s="59"/>
    </row>
    <row r="19" spans="1:6" x14ac:dyDescent="0.2">
      <c r="A19" s="58" t="s">
        <v>178</v>
      </c>
      <c r="B19" s="88">
        <f>100*2*8</f>
        <v>1600</v>
      </c>
      <c r="C19" s="88">
        <v>1600</v>
      </c>
      <c r="D19" s="11">
        <f t="shared" si="0"/>
        <v>0</v>
      </c>
      <c r="E19" s="59">
        <f>(D19/B19)</f>
        <v>0</v>
      </c>
    </row>
    <row r="20" spans="1:6" x14ac:dyDescent="0.2">
      <c r="A20" s="6"/>
      <c r="B20" s="108"/>
      <c r="C20" s="108"/>
      <c r="D20" s="11"/>
      <c r="E20" s="59"/>
    </row>
    <row r="21" spans="1:6" x14ac:dyDescent="0.2">
      <c r="A21" s="144" t="s">
        <v>13</v>
      </c>
      <c r="B21" s="88"/>
      <c r="C21" s="88"/>
      <c r="D21" s="11"/>
      <c r="E21" s="59"/>
    </row>
    <row r="22" spans="1:6" x14ac:dyDescent="0.2">
      <c r="A22" s="6" t="s">
        <v>239</v>
      </c>
      <c r="B22" s="88">
        <v>1000</v>
      </c>
      <c r="C22" s="88">
        <v>1000</v>
      </c>
      <c r="D22" s="11">
        <f t="shared" si="0"/>
        <v>0</v>
      </c>
      <c r="E22" s="59">
        <f>(D22/B22)</f>
        <v>0</v>
      </c>
    </row>
    <row r="23" spans="1:6" x14ac:dyDescent="0.2">
      <c r="A23" s="6" t="s">
        <v>242</v>
      </c>
      <c r="B23" s="88"/>
      <c r="C23" s="88"/>
      <c r="D23" s="11"/>
      <c r="E23" s="59"/>
    </row>
    <row r="24" spans="1:6" x14ac:dyDescent="0.2">
      <c r="A24" s="58" t="s">
        <v>522</v>
      </c>
      <c r="B24" s="108">
        <v>3500</v>
      </c>
      <c r="C24" s="108">
        <v>3935</v>
      </c>
      <c r="D24" s="11">
        <f t="shared" si="0"/>
        <v>435</v>
      </c>
      <c r="E24" s="59">
        <f>(D24/B24)</f>
        <v>0.12428571428571429</v>
      </c>
      <c r="F24" s="38"/>
    </row>
    <row r="25" spans="1:6" x14ac:dyDescent="0.2">
      <c r="A25" s="58" t="s">
        <v>192</v>
      </c>
      <c r="B25" s="88">
        <v>1800</v>
      </c>
      <c r="C25" s="88">
        <v>1800</v>
      </c>
      <c r="D25" s="11">
        <f t="shared" si="0"/>
        <v>0</v>
      </c>
      <c r="E25" s="59">
        <f>(D25/B25)</f>
        <v>0</v>
      </c>
    </row>
    <row r="26" spans="1:6" x14ac:dyDescent="0.2">
      <c r="A26" s="6" t="s">
        <v>410</v>
      </c>
      <c r="B26" s="87">
        <v>500</v>
      </c>
      <c r="C26" s="87">
        <v>1200</v>
      </c>
      <c r="D26" s="92">
        <f t="shared" si="0"/>
        <v>700</v>
      </c>
      <c r="E26" s="101">
        <f>(D26/B26)</f>
        <v>1.4</v>
      </c>
    </row>
    <row r="27" spans="1:6" x14ac:dyDescent="0.2">
      <c r="A27" s="58"/>
      <c r="B27" s="108">
        <f>SUM(B22:B26)</f>
        <v>6800</v>
      </c>
      <c r="C27" s="108">
        <f>SUM(C22:C26)</f>
        <v>7935</v>
      </c>
      <c r="D27" s="11">
        <f>SUM(D22:D26)</f>
        <v>1135</v>
      </c>
      <c r="E27" s="59">
        <f>(D27/B27)</f>
        <v>0.16691176470588234</v>
      </c>
    </row>
    <row r="28" spans="1:6" x14ac:dyDescent="0.2">
      <c r="A28" s="58"/>
      <c r="B28" s="108"/>
      <c r="C28" s="108"/>
      <c r="D28" s="11"/>
      <c r="E28" s="59"/>
    </row>
    <row r="29" spans="1:6" x14ac:dyDescent="0.2">
      <c r="A29" s="144" t="s">
        <v>415</v>
      </c>
      <c r="B29" s="108"/>
      <c r="C29" s="108"/>
      <c r="D29" s="11"/>
      <c r="E29" s="59"/>
    </row>
    <row r="30" spans="1:6" x14ac:dyDescent="0.2">
      <c r="A30" s="58" t="s">
        <v>494</v>
      </c>
      <c r="B30" s="108">
        <v>0</v>
      </c>
      <c r="C30" s="108">
        <v>6300</v>
      </c>
      <c r="D30" s="11">
        <f>C30-B30</f>
        <v>6300</v>
      </c>
      <c r="E30" s="59" t="e">
        <f>(D30/B30)</f>
        <v>#DIV/0!</v>
      </c>
    </row>
    <row r="31" spans="1:6" x14ac:dyDescent="0.2">
      <c r="A31" s="58"/>
      <c r="B31" s="108"/>
      <c r="C31" s="108"/>
      <c r="D31" s="11"/>
      <c r="E31" s="59"/>
    </row>
    <row r="32" spans="1:6" x14ac:dyDescent="0.2">
      <c r="A32" s="144" t="s">
        <v>412</v>
      </c>
      <c r="B32" s="13"/>
      <c r="C32" s="13"/>
      <c r="D32" s="11"/>
      <c r="E32" s="59"/>
    </row>
    <row r="33" spans="1:5" x14ac:dyDescent="0.2">
      <c r="A33" s="58" t="s">
        <v>431</v>
      </c>
      <c r="B33" s="88">
        <v>1800</v>
      </c>
      <c r="C33" s="13">
        <v>1000</v>
      </c>
      <c r="D33" s="11">
        <f>C33-B33</f>
        <v>-800</v>
      </c>
      <c r="E33" s="59">
        <f>(D33/B33)</f>
        <v>-0.44444444444444442</v>
      </c>
    </row>
    <row r="34" spans="1:5" x14ac:dyDescent="0.2">
      <c r="A34" s="58"/>
      <c r="B34" s="108"/>
      <c r="C34" s="108"/>
      <c r="D34" s="11"/>
      <c r="E34" s="59"/>
    </row>
    <row r="35" spans="1:5" x14ac:dyDescent="0.2">
      <c r="A35" s="144" t="s">
        <v>31</v>
      </c>
      <c r="B35" s="13"/>
      <c r="C35" s="13"/>
      <c r="D35" s="11"/>
      <c r="E35" s="59"/>
    </row>
    <row r="36" spans="1:5" x14ac:dyDescent="0.2">
      <c r="A36" s="58" t="s">
        <v>483</v>
      </c>
      <c r="B36" s="87">
        <v>500</v>
      </c>
      <c r="C36" s="87">
        <v>500</v>
      </c>
      <c r="D36" s="92">
        <f t="shared" si="0"/>
        <v>0</v>
      </c>
      <c r="E36" s="101">
        <f>(D36/B36)</f>
        <v>0</v>
      </c>
    </row>
    <row r="37" spans="1:5" x14ac:dyDescent="0.2">
      <c r="A37" s="58"/>
      <c r="B37" s="29">
        <f>SUM(B36:B36)</f>
        <v>500</v>
      </c>
      <c r="C37" s="29">
        <f>SUM(C36:C36)</f>
        <v>500</v>
      </c>
      <c r="D37" s="11">
        <f>SUM(D36:D36)</f>
        <v>0</v>
      </c>
      <c r="E37" s="59">
        <f>(D37/B37)</f>
        <v>0</v>
      </c>
    </row>
    <row r="38" spans="1:5" x14ac:dyDescent="0.2">
      <c r="A38" s="144" t="s">
        <v>16</v>
      </c>
      <c r="B38" s="13"/>
      <c r="C38" s="13"/>
      <c r="D38" s="11"/>
      <c r="E38" s="59"/>
    </row>
    <row r="39" spans="1:5" x14ac:dyDescent="0.2">
      <c r="A39" s="6" t="s">
        <v>484</v>
      </c>
      <c r="B39" s="91">
        <v>600</v>
      </c>
      <c r="C39" s="91">
        <v>400</v>
      </c>
      <c r="D39" s="11">
        <f t="shared" si="0"/>
        <v>-200</v>
      </c>
      <c r="E39" s="59">
        <f>(D39/B39)</f>
        <v>-0.33333333333333331</v>
      </c>
    </row>
    <row r="40" spans="1:5" x14ac:dyDescent="0.2">
      <c r="A40" s="6" t="s">
        <v>485</v>
      </c>
      <c r="B40" s="326">
        <v>600</v>
      </c>
      <c r="C40" s="326">
        <v>950</v>
      </c>
      <c r="D40" s="388">
        <f t="shared" si="0"/>
        <v>350</v>
      </c>
      <c r="E40" s="101">
        <f>(D40/B40)</f>
        <v>0.58333333333333337</v>
      </c>
    </row>
    <row r="41" spans="1:5" x14ac:dyDescent="0.2">
      <c r="A41" s="58"/>
      <c r="B41" s="91">
        <f>SUM(B39:B40)</f>
        <v>1200</v>
      </c>
      <c r="C41" s="91">
        <f>SUM(C39:C40)</f>
        <v>1350</v>
      </c>
      <c r="D41" s="11">
        <f>SUM(D39:D40)</f>
        <v>150</v>
      </c>
      <c r="E41" s="59">
        <f>(D41/B41)</f>
        <v>0.125</v>
      </c>
    </row>
    <row r="42" spans="1:5" x14ac:dyDescent="0.2">
      <c r="A42" s="144" t="s">
        <v>15</v>
      </c>
      <c r="B42" s="13"/>
      <c r="C42" s="13"/>
      <c r="D42" s="11"/>
      <c r="E42" s="59"/>
    </row>
    <row r="43" spans="1:5" x14ac:dyDescent="0.2">
      <c r="A43" s="58" t="s">
        <v>78</v>
      </c>
      <c r="B43" s="91">
        <v>1500</v>
      </c>
      <c r="C43" s="91">
        <v>3500</v>
      </c>
      <c r="D43" s="11">
        <f t="shared" si="0"/>
        <v>2000</v>
      </c>
      <c r="E43" s="59">
        <f>(D43/B43)</f>
        <v>1.3333333333333333</v>
      </c>
    </row>
    <row r="44" spans="1:5" x14ac:dyDescent="0.2">
      <c r="A44" s="6" t="s">
        <v>212</v>
      </c>
      <c r="B44" s="91">
        <v>250</v>
      </c>
      <c r="C44" s="91">
        <v>0</v>
      </c>
      <c r="D44" s="11">
        <f t="shared" si="0"/>
        <v>-250</v>
      </c>
      <c r="E44" s="59">
        <f>(D44/B44)</f>
        <v>-1</v>
      </c>
    </row>
    <row r="45" spans="1:5" x14ac:dyDescent="0.2">
      <c r="A45" s="6" t="s">
        <v>240</v>
      </c>
      <c r="B45" s="326">
        <v>1800</v>
      </c>
      <c r="C45" s="326">
        <v>1000</v>
      </c>
      <c r="D45" s="388">
        <f t="shared" si="0"/>
        <v>-800</v>
      </c>
      <c r="E45" s="101">
        <f>(D45/B45)</f>
        <v>-0.44444444444444442</v>
      </c>
    </row>
    <row r="46" spans="1:5" x14ac:dyDescent="0.2">
      <c r="A46" s="6"/>
      <c r="B46" s="29">
        <f>SUM(B43:B45)</f>
        <v>3550</v>
      </c>
      <c r="C46" s="29">
        <f>SUM(C43:C45)</f>
        <v>4500</v>
      </c>
      <c r="D46" s="11">
        <f>SUM(D43:D45)</f>
        <v>950</v>
      </c>
      <c r="E46" s="59">
        <f>(D46/B46)</f>
        <v>0.26760563380281688</v>
      </c>
    </row>
    <row r="47" spans="1:5" x14ac:dyDescent="0.2">
      <c r="A47" s="6"/>
      <c r="B47" s="29"/>
      <c r="C47" s="29"/>
      <c r="D47" s="11"/>
      <c r="E47" s="59"/>
    </row>
    <row r="48" spans="1:5" x14ac:dyDescent="0.2">
      <c r="A48" s="144" t="s">
        <v>17</v>
      </c>
      <c r="B48" s="29"/>
      <c r="C48" s="29"/>
      <c r="D48" s="11"/>
      <c r="E48" s="59"/>
    </row>
    <row r="49" spans="1:5" x14ac:dyDescent="0.2">
      <c r="A49" s="58" t="s">
        <v>368</v>
      </c>
      <c r="B49" s="29">
        <v>500</v>
      </c>
      <c r="C49" s="29">
        <v>500</v>
      </c>
      <c r="D49" s="11">
        <f>C49-B49</f>
        <v>0</v>
      </c>
      <c r="E49" s="59">
        <f>(D49/B49)</f>
        <v>0</v>
      </c>
    </row>
    <row r="50" spans="1:5" x14ac:dyDescent="0.2">
      <c r="A50" s="6"/>
      <c r="B50" s="13"/>
      <c r="C50" s="13"/>
      <c r="D50" s="11"/>
      <c r="E50" s="59"/>
    </row>
    <row r="51" spans="1:5" s="37" customFormat="1" ht="15.75" thickBot="1" x14ac:dyDescent="0.3">
      <c r="A51" s="166" t="s">
        <v>22</v>
      </c>
      <c r="B51" s="142">
        <f>SUM(B17+B19+B27+B37+B41+B46+B49+B33+B30)</f>
        <v>105910</v>
      </c>
      <c r="C51" s="142">
        <f>SUM(C17+C19+C27+C37+C41+C46+C49+C33+C30)</f>
        <v>97910</v>
      </c>
      <c r="D51" s="142">
        <f>SUM(D17+D19+D27+D37+D41+D46+D49+D33+D30)</f>
        <v>-6040</v>
      </c>
      <c r="E51" s="143">
        <f>(D51/B51)</f>
        <v>-5.7029553394391468E-2</v>
      </c>
    </row>
    <row r="52" spans="1:5" ht="13.5" thickTop="1" x14ac:dyDescent="0.2">
      <c r="A52" s="146"/>
      <c r="B52" s="147"/>
      <c r="C52" s="147"/>
      <c r="D52" s="148"/>
      <c r="E52" s="149"/>
    </row>
    <row r="53" spans="1:5" x14ac:dyDescent="0.2">
      <c r="A53" s="35"/>
      <c r="B53" s="30"/>
    </row>
    <row r="54" spans="1:5" x14ac:dyDescent="0.2">
      <c r="A54" s="35"/>
    </row>
    <row r="55" spans="1:5" x14ac:dyDescent="0.2">
      <c r="A55" s="35"/>
    </row>
  </sheetData>
  <mergeCells count="1">
    <mergeCell ref="B4:E4"/>
  </mergeCells>
  <phoneticPr fontId="0" type="noConversion"/>
  <pageMargins left="1" right="0.5" top="1" bottom="1" header="0.5" footer="0.5"/>
  <pageSetup orientation="portrait" horizontalDpi="300" verticalDpi="300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>
    <pageSetUpPr fitToPage="1"/>
  </sheetPr>
  <dimension ref="A1:K336"/>
  <sheetViews>
    <sheetView showGridLines="0" topLeftCell="A20" zoomScaleNormal="100" workbookViewId="0">
      <selection activeCell="G28" sqref="G1:G1048576"/>
    </sheetView>
  </sheetViews>
  <sheetFormatPr defaultColWidth="8.7109375" defaultRowHeight="12.75" x14ac:dyDescent="0.2"/>
  <cols>
    <col min="1" max="1" width="44.28515625" bestFit="1" customWidth="1"/>
    <col min="2" max="2" width="10.7109375" customWidth="1"/>
    <col min="3" max="3" width="10.7109375" style="1" bestFit="1" customWidth="1"/>
    <col min="4" max="4" width="9.7109375" bestFit="1" customWidth="1"/>
    <col min="5" max="5" width="9.7109375" customWidth="1"/>
    <col min="6" max="6" width="9.28515625" bestFit="1" customWidth="1"/>
  </cols>
  <sheetData>
    <row r="1" spans="1:5" ht="15.75" x14ac:dyDescent="0.25">
      <c r="A1" s="3" t="str">
        <f>'Ann Sess'!A1</f>
        <v>2026 Budget</v>
      </c>
      <c r="B1" s="3" t="s">
        <v>205</v>
      </c>
      <c r="D1" s="8"/>
    </row>
    <row r="2" spans="1:5" ht="15.75" x14ac:dyDescent="0.25">
      <c r="A2" s="359" t="str">
        <f>'Ann Sess'!A2</f>
        <v>1st Draft</v>
      </c>
      <c r="B2" s="3"/>
      <c r="C2"/>
      <c r="D2" s="8"/>
    </row>
    <row r="3" spans="1:5" ht="15.75" x14ac:dyDescent="0.25">
      <c r="A3" s="100"/>
      <c r="B3" s="3" t="s">
        <v>194</v>
      </c>
      <c r="D3" s="9"/>
    </row>
    <row r="4" spans="1:5" x14ac:dyDescent="0.2">
      <c r="B4" s="417" t="s">
        <v>495</v>
      </c>
      <c r="C4" s="418"/>
      <c r="D4" s="418"/>
      <c r="E4" s="418"/>
    </row>
    <row r="5" spans="1:5" ht="15" x14ac:dyDescent="0.25">
      <c r="A5" s="63" t="s">
        <v>26</v>
      </c>
      <c r="B5" s="63">
        <f>'Ann Sess'!B5</f>
        <v>2025</v>
      </c>
      <c r="C5" s="63">
        <f>'Ann Sess'!C5</f>
        <v>2026</v>
      </c>
      <c r="D5" s="4" t="s">
        <v>44</v>
      </c>
      <c r="E5" s="57" t="s">
        <v>44</v>
      </c>
    </row>
    <row r="6" spans="1:5" ht="15" x14ac:dyDescent="0.25">
      <c r="A6" s="5" t="s">
        <v>41</v>
      </c>
      <c r="B6" s="46" t="s">
        <v>43</v>
      </c>
      <c r="C6" s="46" t="s">
        <v>120</v>
      </c>
      <c r="D6" s="46" t="s">
        <v>45</v>
      </c>
      <c r="E6" s="46" t="s">
        <v>46</v>
      </c>
    </row>
    <row r="7" spans="1:5" x14ac:dyDescent="0.2">
      <c r="A7" s="6"/>
      <c r="B7" s="13"/>
      <c r="C7" s="13"/>
      <c r="D7" s="6"/>
      <c r="E7" s="6"/>
    </row>
    <row r="8" spans="1:5" x14ac:dyDescent="0.2">
      <c r="A8" s="150" t="s">
        <v>10</v>
      </c>
      <c r="B8" s="13"/>
      <c r="C8" s="13"/>
      <c r="D8" s="6"/>
      <c r="E8" s="6"/>
    </row>
    <row r="9" spans="1:5" x14ac:dyDescent="0.2">
      <c r="A9" s="167" t="s">
        <v>79</v>
      </c>
      <c r="B9" s="13"/>
      <c r="C9" s="13"/>
      <c r="D9" s="6"/>
      <c r="E9" s="6"/>
    </row>
    <row r="10" spans="1:5" x14ac:dyDescent="0.2">
      <c r="A10" s="6" t="s">
        <v>404</v>
      </c>
      <c r="B10" s="13">
        <v>13050</v>
      </c>
      <c r="C10" s="13">
        <f>29*450</f>
        <v>13050</v>
      </c>
      <c r="D10" s="11">
        <f t="shared" ref="D10:D29" si="0">C10-B10</f>
        <v>0</v>
      </c>
      <c r="E10" s="59">
        <f>(D10/B10)</f>
        <v>0</v>
      </c>
    </row>
    <row r="11" spans="1:5" x14ac:dyDescent="0.2">
      <c r="A11" s="6" t="s">
        <v>496</v>
      </c>
      <c r="B11" s="288">
        <v>8400</v>
      </c>
      <c r="C11" s="288">
        <f>1200*6</f>
        <v>7200</v>
      </c>
      <c r="D11" s="11">
        <f t="shared" si="0"/>
        <v>-1200</v>
      </c>
      <c r="E11" s="59">
        <f>(D11/B11)</f>
        <v>-0.14285714285714285</v>
      </c>
    </row>
    <row r="12" spans="1:5" x14ac:dyDescent="0.2">
      <c r="A12" s="58" t="s">
        <v>517</v>
      </c>
      <c r="B12" s="288">
        <v>11400</v>
      </c>
      <c r="C12" s="288">
        <f>3*425*6</f>
        <v>7650</v>
      </c>
      <c r="D12" s="11">
        <f t="shared" si="0"/>
        <v>-3750</v>
      </c>
      <c r="E12" s="59">
        <f>(D12/B12)</f>
        <v>-0.32894736842105265</v>
      </c>
    </row>
    <row r="13" spans="1:5" x14ac:dyDescent="0.2">
      <c r="A13" s="167" t="s">
        <v>80</v>
      </c>
      <c r="B13" s="88"/>
      <c r="C13" s="88"/>
      <c r="D13" s="11"/>
      <c r="E13" s="59"/>
    </row>
    <row r="14" spans="1:5" x14ac:dyDescent="0.2">
      <c r="A14" s="145" t="s">
        <v>369</v>
      </c>
      <c r="B14" s="108">
        <v>0</v>
      </c>
      <c r="C14" s="108">
        <v>0</v>
      </c>
      <c r="D14" s="11">
        <f t="shared" si="0"/>
        <v>0</v>
      </c>
      <c r="E14" s="59" t="e">
        <f>(D14/B14)</f>
        <v>#DIV/0!</v>
      </c>
    </row>
    <row r="15" spans="1:5" x14ac:dyDescent="0.2">
      <c r="A15" s="145" t="s">
        <v>173</v>
      </c>
      <c r="B15" s="88"/>
      <c r="C15" s="88"/>
      <c r="D15" s="11"/>
      <c r="E15" s="59"/>
    </row>
    <row r="16" spans="1:5" x14ac:dyDescent="0.2">
      <c r="A16" s="6" t="s">
        <v>405</v>
      </c>
      <c r="B16" s="88">
        <v>3950</v>
      </c>
      <c r="C16" s="88">
        <v>4350</v>
      </c>
      <c r="D16" s="11">
        <f t="shared" si="0"/>
        <v>400</v>
      </c>
      <c r="E16" s="59">
        <f>(D16/B16)</f>
        <v>0.10126582278481013</v>
      </c>
    </row>
    <row r="17" spans="1:11" x14ac:dyDescent="0.2">
      <c r="A17" s="167" t="s">
        <v>185</v>
      </c>
      <c r="B17" s="88">
        <v>825.00000000000011</v>
      </c>
      <c r="C17" s="88">
        <v>825</v>
      </c>
      <c r="D17" s="11">
        <f t="shared" si="0"/>
        <v>0</v>
      </c>
      <c r="E17" s="59">
        <f>(D17/B17)</f>
        <v>0</v>
      </c>
    </row>
    <row r="18" spans="1:11" x14ac:dyDescent="0.2">
      <c r="A18" s="58" t="s">
        <v>403</v>
      </c>
      <c r="B18" s="108">
        <v>4650</v>
      </c>
      <c r="C18" s="108">
        <v>4650</v>
      </c>
      <c r="D18" s="11">
        <f t="shared" si="0"/>
        <v>0</v>
      </c>
      <c r="E18" s="59">
        <f>(D18/B18)</f>
        <v>0</v>
      </c>
    </row>
    <row r="19" spans="1:11" x14ac:dyDescent="0.2">
      <c r="A19" s="58" t="s">
        <v>467</v>
      </c>
      <c r="B19" s="108">
        <v>1000</v>
      </c>
      <c r="C19" s="108">
        <v>1000</v>
      </c>
      <c r="D19" s="11">
        <f t="shared" si="0"/>
        <v>0</v>
      </c>
      <c r="E19" s="59">
        <f>(D19/B19)</f>
        <v>0</v>
      </c>
    </row>
    <row r="20" spans="1:11" x14ac:dyDescent="0.2">
      <c r="A20" s="145" t="s">
        <v>317</v>
      </c>
      <c r="B20" s="88"/>
      <c r="C20" s="88"/>
      <c r="D20" s="11"/>
      <c r="E20" s="59"/>
    </row>
    <row r="21" spans="1:11" x14ac:dyDescent="0.2">
      <c r="A21" s="6" t="s">
        <v>518</v>
      </c>
      <c r="B21" s="107">
        <v>3690</v>
      </c>
      <c r="C21" s="107">
        <f>51*81</f>
        <v>4131</v>
      </c>
      <c r="D21" s="11">
        <f t="shared" si="0"/>
        <v>441</v>
      </c>
      <c r="E21" s="59">
        <f>(D21/B21)</f>
        <v>0.11951219512195121</v>
      </c>
      <c r="F21" s="372"/>
    </row>
    <row r="22" spans="1:11" x14ac:dyDescent="0.2">
      <c r="A22" s="167" t="s">
        <v>154</v>
      </c>
      <c r="B22" s="88">
        <v>250</v>
      </c>
      <c r="C22" s="88">
        <v>250</v>
      </c>
      <c r="D22" s="11">
        <f t="shared" si="0"/>
        <v>0</v>
      </c>
      <c r="E22" s="59">
        <f>(D22/B22)</f>
        <v>0</v>
      </c>
      <c r="K22" s="157"/>
    </row>
    <row r="23" spans="1:11" x14ac:dyDescent="0.2">
      <c r="A23" s="145" t="s">
        <v>318</v>
      </c>
      <c r="B23" s="88"/>
      <c r="C23" s="88"/>
      <c r="D23" s="11"/>
      <c r="E23" s="59"/>
    </row>
    <row r="24" spans="1:11" x14ac:dyDescent="0.2">
      <c r="A24" s="6" t="s">
        <v>519</v>
      </c>
      <c r="B24" s="107">
        <v>6750</v>
      </c>
      <c r="C24" s="107">
        <f>51*135</f>
        <v>6885</v>
      </c>
      <c r="D24" s="11">
        <f t="shared" si="0"/>
        <v>135</v>
      </c>
      <c r="E24" s="59">
        <f>(D24/B24)</f>
        <v>0.02</v>
      </c>
    </row>
    <row r="25" spans="1:11" x14ac:dyDescent="0.2">
      <c r="A25" s="167" t="s">
        <v>154</v>
      </c>
      <c r="B25" s="88">
        <v>250</v>
      </c>
      <c r="C25" s="88">
        <v>250</v>
      </c>
      <c r="D25" s="11">
        <f t="shared" si="0"/>
        <v>0</v>
      </c>
      <c r="E25" s="59">
        <f>(D25/B25)</f>
        <v>0</v>
      </c>
    </row>
    <row r="26" spans="1:11" x14ac:dyDescent="0.2">
      <c r="A26" s="145" t="s">
        <v>196</v>
      </c>
      <c r="B26" s="88"/>
      <c r="C26" s="88"/>
      <c r="D26" s="11"/>
      <c r="E26" s="59"/>
    </row>
    <row r="27" spans="1:11" x14ac:dyDescent="0.2">
      <c r="A27" s="6" t="s">
        <v>408</v>
      </c>
      <c r="B27" s="88">
        <f>29*115</f>
        <v>3335</v>
      </c>
      <c r="C27" s="88">
        <f>29*115</f>
        <v>3335</v>
      </c>
      <c r="D27" s="11">
        <f t="shared" si="0"/>
        <v>0</v>
      </c>
      <c r="E27" s="59">
        <f>(D27/B27)</f>
        <v>0</v>
      </c>
    </row>
    <row r="28" spans="1:11" x14ac:dyDescent="0.2">
      <c r="A28" s="167" t="s">
        <v>164</v>
      </c>
      <c r="B28" s="107">
        <v>19500</v>
      </c>
      <c r="C28" s="107">
        <v>14500</v>
      </c>
      <c r="D28" s="11">
        <f t="shared" si="0"/>
        <v>-5000</v>
      </c>
      <c r="E28" s="59">
        <f>(D28/B28)</f>
        <v>-0.25641025641025639</v>
      </c>
      <c r="F28" s="372"/>
    </row>
    <row r="29" spans="1:11" x14ac:dyDescent="0.2">
      <c r="A29" s="167" t="s">
        <v>68</v>
      </c>
      <c r="B29" s="125">
        <v>350</v>
      </c>
      <c r="C29" s="125">
        <v>350</v>
      </c>
      <c r="D29" s="155">
        <f t="shared" si="0"/>
        <v>0</v>
      </c>
      <c r="E29" s="139">
        <f>(D29/B29)</f>
        <v>0</v>
      </c>
    </row>
    <row r="30" spans="1:11" x14ac:dyDescent="0.2">
      <c r="A30" s="167"/>
      <c r="B30" s="33">
        <f>SUM(B10:B29)</f>
        <v>77400</v>
      </c>
      <c r="C30" s="33">
        <f>SUM(C10:C29)</f>
        <v>68426</v>
      </c>
      <c r="D30" s="11">
        <f>SUM(D10:D29)</f>
        <v>-8974</v>
      </c>
      <c r="E30" s="59">
        <f>(D30/B30)</f>
        <v>-0.11594315245478036</v>
      </c>
    </row>
    <row r="31" spans="1:11" ht="13.5" customHeight="1" x14ac:dyDescent="0.2">
      <c r="A31" s="167"/>
      <c r="B31" s="13"/>
      <c r="C31" s="13"/>
      <c r="D31" s="13"/>
      <c r="E31" s="6"/>
    </row>
    <row r="32" spans="1:11" ht="12" customHeight="1" x14ac:dyDescent="0.2">
      <c r="A32" s="144" t="s">
        <v>11</v>
      </c>
      <c r="B32" s="13"/>
      <c r="C32" s="13"/>
      <c r="D32" s="13"/>
      <c r="E32" s="6"/>
    </row>
    <row r="33" spans="1:5" ht="14.25" customHeight="1" x14ac:dyDescent="0.2">
      <c r="A33" s="6" t="s">
        <v>406</v>
      </c>
      <c r="B33" s="88">
        <f>29*250</f>
        <v>7250</v>
      </c>
      <c r="C33" s="88">
        <f>29*250</f>
        <v>7250</v>
      </c>
      <c r="D33" s="11">
        <f>C33-B33</f>
        <v>0</v>
      </c>
      <c r="E33" s="59">
        <f>(D33/B33)</f>
        <v>0</v>
      </c>
    </row>
    <row r="34" spans="1:5" ht="14.25" customHeight="1" x14ac:dyDescent="0.2">
      <c r="A34" s="6" t="s">
        <v>407</v>
      </c>
      <c r="B34" s="108">
        <f>4*29*350</f>
        <v>40600</v>
      </c>
      <c r="C34" s="108">
        <f>4*29*350</f>
        <v>40600</v>
      </c>
      <c r="D34" s="11">
        <f>C34-B34</f>
        <v>0</v>
      </c>
      <c r="E34" s="59">
        <f>(D34/B34)</f>
        <v>0</v>
      </c>
    </row>
    <row r="35" spans="1:5" x14ac:dyDescent="0.2">
      <c r="A35" s="6" t="s">
        <v>213</v>
      </c>
      <c r="B35" s="99">
        <v>1500</v>
      </c>
      <c r="C35" s="99">
        <v>1500</v>
      </c>
      <c r="D35" s="99">
        <f>C35-B35</f>
        <v>0</v>
      </c>
      <c r="E35" s="101">
        <f>(D35/B35)</f>
        <v>0</v>
      </c>
    </row>
    <row r="36" spans="1:5" x14ac:dyDescent="0.2">
      <c r="A36" s="167"/>
      <c r="B36" s="13">
        <f>SUM(B33:B35)</f>
        <v>49350</v>
      </c>
      <c r="C36" s="13">
        <f>SUM(C33:C35)</f>
        <v>49350</v>
      </c>
      <c r="D36" s="11">
        <f>SUM(D33:D35)</f>
        <v>0</v>
      </c>
      <c r="E36" s="59">
        <f>(D36/B36)</f>
        <v>0</v>
      </c>
    </row>
    <row r="37" spans="1:5" ht="15" customHeight="1" x14ac:dyDescent="0.2">
      <c r="A37" s="144" t="s">
        <v>13</v>
      </c>
      <c r="B37" s="13"/>
      <c r="C37" s="13"/>
      <c r="D37" s="13"/>
      <c r="E37" s="6"/>
    </row>
    <row r="38" spans="1:5" x14ac:dyDescent="0.2">
      <c r="A38" s="145" t="s">
        <v>197</v>
      </c>
      <c r="B38" s="13"/>
      <c r="C38" s="13"/>
      <c r="D38" s="13"/>
      <c r="E38" s="6"/>
    </row>
    <row r="39" spans="1:5" x14ac:dyDescent="0.2">
      <c r="A39" s="6" t="s">
        <v>238</v>
      </c>
      <c r="B39" s="13">
        <v>250</v>
      </c>
      <c r="C39" s="13">
        <v>250</v>
      </c>
      <c r="D39" s="11">
        <f t="shared" ref="D39:D51" si="1">C39-B39</f>
        <v>0</v>
      </c>
      <c r="E39" s="59">
        <f t="shared" ref="E39:E54" si="2">(D39/B39)</f>
        <v>0</v>
      </c>
    </row>
    <row r="40" spans="1:5" x14ac:dyDescent="0.2">
      <c r="A40" s="145" t="s">
        <v>295</v>
      </c>
      <c r="B40" s="13"/>
      <c r="C40" s="13"/>
      <c r="D40" s="11"/>
      <c r="E40" s="59"/>
    </row>
    <row r="41" spans="1:5" x14ac:dyDescent="0.2">
      <c r="A41" s="58" t="s">
        <v>520</v>
      </c>
      <c r="B41" s="108">
        <v>11400</v>
      </c>
      <c r="C41" s="108">
        <f>4*425*6</f>
        <v>10200</v>
      </c>
      <c r="D41" s="75">
        <f t="shared" si="1"/>
        <v>-1200</v>
      </c>
      <c r="E41" s="59">
        <f t="shared" si="2"/>
        <v>-0.10526315789473684</v>
      </c>
    </row>
    <row r="42" spans="1:5" x14ac:dyDescent="0.2">
      <c r="A42" s="6" t="s">
        <v>497</v>
      </c>
      <c r="B42" s="13">
        <f>4*495</f>
        <v>1980</v>
      </c>
      <c r="C42" s="13">
        <f>4*495</f>
        <v>1980</v>
      </c>
      <c r="D42" s="11">
        <f t="shared" si="1"/>
        <v>0</v>
      </c>
      <c r="E42" s="59">
        <f t="shared" si="2"/>
        <v>0</v>
      </c>
    </row>
    <row r="43" spans="1:5" x14ac:dyDescent="0.2">
      <c r="A43" s="6" t="s">
        <v>385</v>
      </c>
      <c r="B43" s="13">
        <f>4*7*100</f>
        <v>2800</v>
      </c>
      <c r="C43" s="13">
        <f>4*7*100</f>
        <v>2800</v>
      </c>
      <c r="D43" s="11">
        <f>C43-B43</f>
        <v>0</v>
      </c>
      <c r="E43" s="59">
        <f t="shared" si="2"/>
        <v>0</v>
      </c>
    </row>
    <row r="44" spans="1:5" x14ac:dyDescent="0.2">
      <c r="A44" s="167" t="s">
        <v>69</v>
      </c>
      <c r="B44" s="99">
        <v>250</v>
      </c>
      <c r="C44" s="99">
        <v>250</v>
      </c>
      <c r="D44" s="99">
        <f t="shared" si="1"/>
        <v>0</v>
      </c>
      <c r="E44" s="101">
        <f>(D44/B44)</f>
        <v>0</v>
      </c>
    </row>
    <row r="45" spans="1:5" x14ac:dyDescent="0.2">
      <c r="A45" s="167"/>
      <c r="B45" s="33">
        <f>SUM(B39:B44)</f>
        <v>16680</v>
      </c>
      <c r="C45" s="33">
        <f>SUM(C39:C44)</f>
        <v>15480</v>
      </c>
      <c r="D45" s="11">
        <f>SUM(D39:D44)</f>
        <v>-1200</v>
      </c>
      <c r="E45" s="59">
        <f t="shared" si="2"/>
        <v>-7.1942446043165464E-2</v>
      </c>
    </row>
    <row r="46" spans="1:5" x14ac:dyDescent="0.2">
      <c r="A46" s="167"/>
      <c r="B46" s="13"/>
      <c r="C46" s="13"/>
      <c r="D46" s="11"/>
      <c r="E46" s="59"/>
    </row>
    <row r="47" spans="1:5" x14ac:dyDescent="0.2">
      <c r="A47" s="150" t="s">
        <v>198</v>
      </c>
      <c r="B47" s="29">
        <v>50</v>
      </c>
      <c r="C47" s="29">
        <v>0</v>
      </c>
      <c r="D47" s="33">
        <f t="shared" si="1"/>
        <v>-50</v>
      </c>
      <c r="E47" s="93">
        <f t="shared" si="2"/>
        <v>-1</v>
      </c>
    </row>
    <row r="48" spans="1:5" x14ac:dyDescent="0.2">
      <c r="A48" s="168"/>
      <c r="B48" s="11"/>
      <c r="C48" s="11"/>
      <c r="D48" s="13"/>
      <c r="E48" s="93"/>
    </row>
    <row r="49" spans="1:5" x14ac:dyDescent="0.2">
      <c r="A49" s="150" t="s">
        <v>199</v>
      </c>
      <c r="B49" s="29">
        <v>50</v>
      </c>
      <c r="C49" s="29">
        <v>0</v>
      </c>
      <c r="D49" s="33">
        <f t="shared" si="1"/>
        <v>-50</v>
      </c>
      <c r="E49" s="93">
        <f t="shared" si="2"/>
        <v>-1</v>
      </c>
    </row>
    <row r="50" spans="1:5" x14ac:dyDescent="0.2">
      <c r="A50" s="168"/>
      <c r="B50" s="11"/>
      <c r="C50" s="11"/>
      <c r="D50" s="13"/>
      <c r="E50" s="93"/>
    </row>
    <row r="51" spans="1:5" x14ac:dyDescent="0.2">
      <c r="A51" s="150" t="s">
        <v>200</v>
      </c>
      <c r="B51" s="91">
        <v>500</v>
      </c>
      <c r="C51" s="91">
        <v>500</v>
      </c>
      <c r="D51" s="33">
        <f t="shared" si="1"/>
        <v>0</v>
      </c>
      <c r="E51" s="93">
        <f t="shared" si="2"/>
        <v>0</v>
      </c>
    </row>
    <row r="52" spans="1:5" x14ac:dyDescent="0.2">
      <c r="A52" s="150"/>
      <c r="B52" s="29"/>
      <c r="C52" s="29"/>
      <c r="D52" s="29"/>
      <c r="E52" s="59"/>
    </row>
    <row r="53" spans="1:5" x14ac:dyDescent="0.2">
      <c r="A53" s="6"/>
      <c r="B53" s="13"/>
      <c r="C53" s="13"/>
      <c r="D53" s="11"/>
      <c r="E53" s="59"/>
    </row>
    <row r="54" spans="1:5" s="37" customFormat="1" ht="15.75" thickBot="1" x14ac:dyDescent="0.3">
      <c r="A54" s="166" t="s">
        <v>22</v>
      </c>
      <c r="B54" s="156">
        <f>+B30+B36+B45+B47+B49+B51</f>
        <v>144030</v>
      </c>
      <c r="C54" s="156">
        <f>+C30+C36+C45+C47+C49+C51</f>
        <v>133756</v>
      </c>
      <c r="D54" s="156">
        <f>+D30+D36+D45+D47+D49+D51</f>
        <v>-10274</v>
      </c>
      <c r="E54" s="143">
        <f t="shared" si="2"/>
        <v>-7.1332361313615214E-2</v>
      </c>
    </row>
    <row r="55" spans="1:5" ht="13.5" thickTop="1" x14ac:dyDescent="0.2">
      <c r="A55" s="146"/>
      <c r="B55" s="147"/>
      <c r="C55" s="47"/>
      <c r="D55" s="47"/>
      <c r="E55" s="149"/>
    </row>
    <row r="56" spans="1:5" x14ac:dyDescent="0.2">
      <c r="C56"/>
    </row>
    <row r="57" spans="1:5" x14ac:dyDescent="0.2">
      <c r="C57"/>
    </row>
    <row r="58" spans="1:5" x14ac:dyDescent="0.2">
      <c r="C58"/>
    </row>
    <row r="59" spans="1:5" x14ac:dyDescent="0.2">
      <c r="C59"/>
    </row>
    <row r="60" spans="1:5" x14ac:dyDescent="0.2">
      <c r="C60"/>
    </row>
    <row r="61" spans="1:5" x14ac:dyDescent="0.2">
      <c r="C61"/>
    </row>
    <row r="62" spans="1:5" x14ac:dyDescent="0.2">
      <c r="C62"/>
    </row>
    <row r="63" spans="1:5" x14ac:dyDescent="0.2">
      <c r="C63"/>
    </row>
    <row r="64" spans="1:5" x14ac:dyDescent="0.2">
      <c r="C64"/>
    </row>
    <row r="65" spans="3:3" x14ac:dyDescent="0.2">
      <c r="C65"/>
    </row>
    <row r="66" spans="3:3" x14ac:dyDescent="0.2">
      <c r="C66"/>
    </row>
    <row r="67" spans="3:3" x14ac:dyDescent="0.2">
      <c r="C67"/>
    </row>
    <row r="68" spans="3:3" x14ac:dyDescent="0.2">
      <c r="C68"/>
    </row>
    <row r="69" spans="3:3" x14ac:dyDescent="0.2">
      <c r="C69"/>
    </row>
    <row r="70" spans="3:3" x14ac:dyDescent="0.2">
      <c r="C70"/>
    </row>
    <row r="71" spans="3:3" x14ac:dyDescent="0.2">
      <c r="C71"/>
    </row>
    <row r="72" spans="3:3" x14ac:dyDescent="0.2">
      <c r="C72"/>
    </row>
    <row r="73" spans="3:3" x14ac:dyDescent="0.2">
      <c r="C73"/>
    </row>
    <row r="74" spans="3:3" x14ac:dyDescent="0.2">
      <c r="C74"/>
    </row>
    <row r="75" spans="3:3" x14ac:dyDescent="0.2">
      <c r="C75"/>
    </row>
    <row r="76" spans="3:3" x14ac:dyDescent="0.2">
      <c r="C76"/>
    </row>
    <row r="77" spans="3:3" x14ac:dyDescent="0.2">
      <c r="C77"/>
    </row>
    <row r="78" spans="3:3" x14ac:dyDescent="0.2">
      <c r="C78"/>
    </row>
    <row r="79" spans="3:3" x14ac:dyDescent="0.2">
      <c r="C79"/>
    </row>
    <row r="80" spans="3:3" x14ac:dyDescent="0.2">
      <c r="C80"/>
    </row>
    <row r="81" spans="3:3" x14ac:dyDescent="0.2">
      <c r="C81"/>
    </row>
    <row r="82" spans="3:3" x14ac:dyDescent="0.2">
      <c r="C82"/>
    </row>
    <row r="83" spans="3:3" x14ac:dyDescent="0.2">
      <c r="C83"/>
    </row>
    <row r="84" spans="3:3" x14ac:dyDescent="0.2">
      <c r="C84"/>
    </row>
    <row r="85" spans="3:3" x14ac:dyDescent="0.2">
      <c r="C85"/>
    </row>
    <row r="86" spans="3:3" x14ac:dyDescent="0.2">
      <c r="C86"/>
    </row>
    <row r="87" spans="3:3" x14ac:dyDescent="0.2">
      <c r="C87"/>
    </row>
    <row r="88" spans="3:3" x14ac:dyDescent="0.2">
      <c r="C88"/>
    </row>
    <row r="89" spans="3:3" x14ac:dyDescent="0.2">
      <c r="C89"/>
    </row>
    <row r="90" spans="3:3" x14ac:dyDescent="0.2">
      <c r="C90"/>
    </row>
    <row r="91" spans="3:3" x14ac:dyDescent="0.2">
      <c r="C91"/>
    </row>
    <row r="92" spans="3:3" x14ac:dyDescent="0.2">
      <c r="C92"/>
    </row>
    <row r="93" spans="3:3" x14ac:dyDescent="0.2">
      <c r="C93"/>
    </row>
    <row r="94" spans="3:3" x14ac:dyDescent="0.2">
      <c r="C94"/>
    </row>
    <row r="95" spans="3:3" x14ac:dyDescent="0.2">
      <c r="C95"/>
    </row>
    <row r="96" spans="3:3" x14ac:dyDescent="0.2">
      <c r="C96"/>
    </row>
    <row r="97" spans="3:3" x14ac:dyDescent="0.2">
      <c r="C97"/>
    </row>
    <row r="98" spans="3:3" x14ac:dyDescent="0.2">
      <c r="C98"/>
    </row>
    <row r="99" spans="3:3" x14ac:dyDescent="0.2">
      <c r="C99"/>
    </row>
    <row r="100" spans="3:3" x14ac:dyDescent="0.2">
      <c r="C100"/>
    </row>
    <row r="101" spans="3:3" x14ac:dyDescent="0.2">
      <c r="C101"/>
    </row>
    <row r="102" spans="3:3" x14ac:dyDescent="0.2">
      <c r="C102"/>
    </row>
    <row r="103" spans="3:3" x14ac:dyDescent="0.2">
      <c r="C103"/>
    </row>
    <row r="104" spans="3:3" x14ac:dyDescent="0.2">
      <c r="C104"/>
    </row>
    <row r="105" spans="3:3" x14ac:dyDescent="0.2">
      <c r="C105"/>
    </row>
    <row r="106" spans="3:3" x14ac:dyDescent="0.2">
      <c r="C106"/>
    </row>
    <row r="107" spans="3:3" x14ac:dyDescent="0.2">
      <c r="C107"/>
    </row>
    <row r="108" spans="3:3" x14ac:dyDescent="0.2">
      <c r="C108"/>
    </row>
    <row r="109" spans="3:3" x14ac:dyDescent="0.2">
      <c r="C109"/>
    </row>
    <row r="110" spans="3:3" x14ac:dyDescent="0.2">
      <c r="C110"/>
    </row>
    <row r="111" spans="3:3" x14ac:dyDescent="0.2">
      <c r="C111"/>
    </row>
    <row r="112" spans="3:3" x14ac:dyDescent="0.2">
      <c r="C112"/>
    </row>
    <row r="113" spans="3:3" x14ac:dyDescent="0.2">
      <c r="C113"/>
    </row>
    <row r="114" spans="3:3" x14ac:dyDescent="0.2">
      <c r="C114"/>
    </row>
    <row r="115" spans="3:3" x14ac:dyDescent="0.2">
      <c r="C115"/>
    </row>
    <row r="116" spans="3:3" x14ac:dyDescent="0.2">
      <c r="C116"/>
    </row>
    <row r="117" spans="3:3" x14ac:dyDescent="0.2">
      <c r="C117"/>
    </row>
    <row r="118" spans="3:3" x14ac:dyDescent="0.2">
      <c r="C118"/>
    </row>
    <row r="119" spans="3:3" x14ac:dyDescent="0.2">
      <c r="C119"/>
    </row>
    <row r="120" spans="3:3" x14ac:dyDescent="0.2">
      <c r="C120"/>
    </row>
    <row r="121" spans="3:3" x14ac:dyDescent="0.2">
      <c r="C121"/>
    </row>
    <row r="122" spans="3:3" x14ac:dyDescent="0.2">
      <c r="C122"/>
    </row>
    <row r="123" spans="3:3" x14ac:dyDescent="0.2">
      <c r="C123"/>
    </row>
    <row r="124" spans="3:3" x14ac:dyDescent="0.2">
      <c r="C124"/>
    </row>
    <row r="125" spans="3:3" x14ac:dyDescent="0.2">
      <c r="C125"/>
    </row>
    <row r="126" spans="3:3" x14ac:dyDescent="0.2">
      <c r="C126"/>
    </row>
    <row r="127" spans="3:3" x14ac:dyDescent="0.2">
      <c r="C127"/>
    </row>
    <row r="128" spans="3:3" x14ac:dyDescent="0.2">
      <c r="C128"/>
    </row>
    <row r="129" spans="3:3" x14ac:dyDescent="0.2">
      <c r="C129"/>
    </row>
    <row r="130" spans="3:3" x14ac:dyDescent="0.2">
      <c r="C130"/>
    </row>
    <row r="131" spans="3:3" x14ac:dyDescent="0.2">
      <c r="C131"/>
    </row>
    <row r="132" spans="3:3" x14ac:dyDescent="0.2">
      <c r="C132"/>
    </row>
    <row r="133" spans="3:3" x14ac:dyDescent="0.2">
      <c r="C133"/>
    </row>
    <row r="134" spans="3:3" x14ac:dyDescent="0.2">
      <c r="C134"/>
    </row>
    <row r="135" spans="3:3" x14ac:dyDescent="0.2">
      <c r="C135"/>
    </row>
    <row r="136" spans="3:3" x14ac:dyDescent="0.2">
      <c r="C136"/>
    </row>
    <row r="137" spans="3:3" x14ac:dyDescent="0.2">
      <c r="C137"/>
    </row>
    <row r="138" spans="3:3" x14ac:dyDescent="0.2">
      <c r="C138"/>
    </row>
    <row r="139" spans="3:3" x14ac:dyDescent="0.2">
      <c r="C139"/>
    </row>
    <row r="140" spans="3:3" x14ac:dyDescent="0.2">
      <c r="C140"/>
    </row>
    <row r="141" spans="3:3" x14ac:dyDescent="0.2">
      <c r="C141"/>
    </row>
    <row r="142" spans="3:3" x14ac:dyDescent="0.2">
      <c r="C142"/>
    </row>
    <row r="143" spans="3:3" x14ac:dyDescent="0.2">
      <c r="C143"/>
    </row>
    <row r="144" spans="3:3" x14ac:dyDescent="0.2">
      <c r="C144"/>
    </row>
    <row r="145" spans="3:3" x14ac:dyDescent="0.2">
      <c r="C145"/>
    </row>
    <row r="146" spans="3:3" x14ac:dyDescent="0.2">
      <c r="C146"/>
    </row>
    <row r="147" spans="3:3" x14ac:dyDescent="0.2">
      <c r="C147"/>
    </row>
    <row r="148" spans="3:3" x14ac:dyDescent="0.2">
      <c r="C148"/>
    </row>
    <row r="149" spans="3:3" x14ac:dyDescent="0.2">
      <c r="C149"/>
    </row>
    <row r="150" spans="3:3" x14ac:dyDescent="0.2">
      <c r="C150"/>
    </row>
    <row r="151" spans="3:3" x14ac:dyDescent="0.2">
      <c r="C151"/>
    </row>
    <row r="152" spans="3:3" x14ac:dyDescent="0.2">
      <c r="C152"/>
    </row>
    <row r="153" spans="3:3" x14ac:dyDescent="0.2">
      <c r="C153"/>
    </row>
    <row r="154" spans="3:3" x14ac:dyDescent="0.2">
      <c r="C154"/>
    </row>
    <row r="155" spans="3:3" x14ac:dyDescent="0.2">
      <c r="C155"/>
    </row>
    <row r="156" spans="3:3" x14ac:dyDescent="0.2">
      <c r="C156"/>
    </row>
    <row r="157" spans="3:3" x14ac:dyDescent="0.2">
      <c r="C157"/>
    </row>
    <row r="158" spans="3:3" x14ac:dyDescent="0.2">
      <c r="C158"/>
    </row>
    <row r="159" spans="3:3" x14ac:dyDescent="0.2">
      <c r="C159"/>
    </row>
    <row r="160" spans="3:3" x14ac:dyDescent="0.2">
      <c r="C160"/>
    </row>
    <row r="161" spans="3:3" x14ac:dyDescent="0.2">
      <c r="C161"/>
    </row>
    <row r="162" spans="3:3" x14ac:dyDescent="0.2">
      <c r="C162"/>
    </row>
    <row r="163" spans="3:3" x14ac:dyDescent="0.2">
      <c r="C163"/>
    </row>
    <row r="164" spans="3:3" x14ac:dyDescent="0.2">
      <c r="C164"/>
    </row>
    <row r="165" spans="3:3" x14ac:dyDescent="0.2">
      <c r="C165"/>
    </row>
    <row r="166" spans="3:3" x14ac:dyDescent="0.2">
      <c r="C166"/>
    </row>
    <row r="167" spans="3:3" x14ac:dyDescent="0.2">
      <c r="C167"/>
    </row>
    <row r="168" spans="3:3" x14ac:dyDescent="0.2">
      <c r="C168"/>
    </row>
    <row r="169" spans="3:3" x14ac:dyDescent="0.2">
      <c r="C169"/>
    </row>
    <row r="170" spans="3:3" x14ac:dyDescent="0.2">
      <c r="C170"/>
    </row>
    <row r="171" spans="3:3" x14ac:dyDescent="0.2">
      <c r="C171"/>
    </row>
    <row r="172" spans="3:3" x14ac:dyDescent="0.2">
      <c r="C172"/>
    </row>
    <row r="173" spans="3:3" x14ac:dyDescent="0.2">
      <c r="C173"/>
    </row>
    <row r="174" spans="3:3" x14ac:dyDescent="0.2">
      <c r="C174"/>
    </row>
    <row r="175" spans="3:3" x14ac:dyDescent="0.2">
      <c r="C175"/>
    </row>
    <row r="176" spans="3:3" x14ac:dyDescent="0.2">
      <c r="C176"/>
    </row>
    <row r="177" spans="3:3" x14ac:dyDescent="0.2">
      <c r="C177"/>
    </row>
    <row r="178" spans="3:3" x14ac:dyDescent="0.2">
      <c r="C178"/>
    </row>
    <row r="179" spans="3:3" x14ac:dyDescent="0.2">
      <c r="C179"/>
    </row>
    <row r="180" spans="3:3" x14ac:dyDescent="0.2">
      <c r="C180"/>
    </row>
    <row r="181" spans="3:3" x14ac:dyDescent="0.2">
      <c r="C181"/>
    </row>
    <row r="182" spans="3:3" x14ac:dyDescent="0.2">
      <c r="C182"/>
    </row>
    <row r="183" spans="3:3" x14ac:dyDescent="0.2">
      <c r="C183"/>
    </row>
    <row r="184" spans="3:3" x14ac:dyDescent="0.2">
      <c r="C184"/>
    </row>
    <row r="185" spans="3:3" x14ac:dyDescent="0.2">
      <c r="C185"/>
    </row>
    <row r="186" spans="3:3" x14ac:dyDescent="0.2">
      <c r="C186"/>
    </row>
    <row r="187" spans="3:3" x14ac:dyDescent="0.2">
      <c r="C187"/>
    </row>
    <row r="188" spans="3:3" x14ac:dyDescent="0.2">
      <c r="C188"/>
    </row>
    <row r="189" spans="3:3" x14ac:dyDescent="0.2">
      <c r="C189"/>
    </row>
    <row r="190" spans="3:3" x14ac:dyDescent="0.2">
      <c r="C190"/>
    </row>
    <row r="191" spans="3:3" x14ac:dyDescent="0.2">
      <c r="C191"/>
    </row>
    <row r="192" spans="3:3" x14ac:dyDescent="0.2">
      <c r="C192"/>
    </row>
    <row r="193" spans="3:3" x14ac:dyDescent="0.2">
      <c r="C193"/>
    </row>
    <row r="194" spans="3:3" x14ac:dyDescent="0.2">
      <c r="C194"/>
    </row>
    <row r="195" spans="3:3" x14ac:dyDescent="0.2">
      <c r="C195"/>
    </row>
    <row r="196" spans="3:3" x14ac:dyDescent="0.2">
      <c r="C196"/>
    </row>
    <row r="197" spans="3:3" x14ac:dyDescent="0.2">
      <c r="C197"/>
    </row>
    <row r="198" spans="3:3" x14ac:dyDescent="0.2">
      <c r="C198"/>
    </row>
    <row r="199" spans="3:3" x14ac:dyDescent="0.2">
      <c r="C199"/>
    </row>
    <row r="200" spans="3:3" x14ac:dyDescent="0.2">
      <c r="C200"/>
    </row>
    <row r="201" spans="3:3" x14ac:dyDescent="0.2">
      <c r="C201"/>
    </row>
    <row r="202" spans="3:3" x14ac:dyDescent="0.2">
      <c r="C202"/>
    </row>
    <row r="203" spans="3:3" x14ac:dyDescent="0.2">
      <c r="C203"/>
    </row>
    <row r="204" spans="3:3" x14ac:dyDescent="0.2">
      <c r="C204"/>
    </row>
    <row r="205" spans="3:3" x14ac:dyDescent="0.2">
      <c r="C205"/>
    </row>
    <row r="206" spans="3:3" x14ac:dyDescent="0.2">
      <c r="C206"/>
    </row>
    <row r="207" spans="3:3" x14ac:dyDescent="0.2">
      <c r="C207"/>
    </row>
    <row r="208" spans="3:3" x14ac:dyDescent="0.2">
      <c r="C208"/>
    </row>
    <row r="209" spans="3:3" x14ac:dyDescent="0.2">
      <c r="C209"/>
    </row>
    <row r="210" spans="3:3" x14ac:dyDescent="0.2">
      <c r="C210"/>
    </row>
    <row r="211" spans="3:3" x14ac:dyDescent="0.2">
      <c r="C211"/>
    </row>
    <row r="212" spans="3:3" x14ac:dyDescent="0.2">
      <c r="C212"/>
    </row>
    <row r="213" spans="3:3" x14ac:dyDescent="0.2">
      <c r="C213"/>
    </row>
    <row r="214" spans="3:3" x14ac:dyDescent="0.2">
      <c r="C214"/>
    </row>
    <row r="215" spans="3:3" x14ac:dyDescent="0.2">
      <c r="C215"/>
    </row>
    <row r="216" spans="3:3" x14ac:dyDescent="0.2">
      <c r="C216"/>
    </row>
    <row r="217" spans="3:3" x14ac:dyDescent="0.2">
      <c r="C217"/>
    </row>
    <row r="218" spans="3:3" x14ac:dyDescent="0.2">
      <c r="C218"/>
    </row>
    <row r="219" spans="3:3" x14ac:dyDescent="0.2">
      <c r="C219"/>
    </row>
    <row r="220" spans="3:3" x14ac:dyDescent="0.2">
      <c r="C220"/>
    </row>
    <row r="221" spans="3:3" x14ac:dyDescent="0.2">
      <c r="C221"/>
    </row>
    <row r="222" spans="3:3" x14ac:dyDescent="0.2">
      <c r="C222"/>
    </row>
    <row r="223" spans="3:3" x14ac:dyDescent="0.2">
      <c r="C223"/>
    </row>
    <row r="224" spans="3:3" x14ac:dyDescent="0.2">
      <c r="C224"/>
    </row>
    <row r="225" spans="3:3" x14ac:dyDescent="0.2">
      <c r="C225"/>
    </row>
    <row r="226" spans="3:3" x14ac:dyDescent="0.2">
      <c r="C226"/>
    </row>
    <row r="227" spans="3:3" x14ac:dyDescent="0.2">
      <c r="C227"/>
    </row>
    <row r="228" spans="3:3" x14ac:dyDescent="0.2">
      <c r="C228"/>
    </row>
    <row r="229" spans="3:3" x14ac:dyDescent="0.2">
      <c r="C229"/>
    </row>
    <row r="230" spans="3:3" x14ac:dyDescent="0.2">
      <c r="C230"/>
    </row>
    <row r="231" spans="3:3" x14ac:dyDescent="0.2">
      <c r="C231"/>
    </row>
    <row r="232" spans="3:3" x14ac:dyDescent="0.2">
      <c r="C232"/>
    </row>
    <row r="233" spans="3:3" x14ac:dyDescent="0.2">
      <c r="C233"/>
    </row>
    <row r="234" spans="3:3" x14ac:dyDescent="0.2">
      <c r="C234"/>
    </row>
    <row r="235" spans="3:3" x14ac:dyDescent="0.2">
      <c r="C235"/>
    </row>
    <row r="236" spans="3:3" x14ac:dyDescent="0.2">
      <c r="C236"/>
    </row>
    <row r="237" spans="3:3" x14ac:dyDescent="0.2">
      <c r="C237"/>
    </row>
    <row r="238" spans="3:3" x14ac:dyDescent="0.2">
      <c r="C238"/>
    </row>
    <row r="239" spans="3:3" x14ac:dyDescent="0.2">
      <c r="C239"/>
    </row>
    <row r="240" spans="3:3" x14ac:dyDescent="0.2">
      <c r="C240"/>
    </row>
    <row r="241" spans="3:3" x14ac:dyDescent="0.2">
      <c r="C241"/>
    </row>
    <row r="242" spans="3:3" x14ac:dyDescent="0.2">
      <c r="C242"/>
    </row>
    <row r="243" spans="3:3" x14ac:dyDescent="0.2">
      <c r="C243"/>
    </row>
    <row r="244" spans="3:3" x14ac:dyDescent="0.2">
      <c r="C244"/>
    </row>
    <row r="245" spans="3:3" x14ac:dyDescent="0.2">
      <c r="C245"/>
    </row>
    <row r="246" spans="3:3" x14ac:dyDescent="0.2">
      <c r="C246"/>
    </row>
    <row r="247" spans="3:3" x14ac:dyDescent="0.2">
      <c r="C247"/>
    </row>
    <row r="248" spans="3:3" x14ac:dyDescent="0.2">
      <c r="C248"/>
    </row>
    <row r="249" spans="3:3" x14ac:dyDescent="0.2">
      <c r="C249"/>
    </row>
    <row r="250" spans="3:3" x14ac:dyDescent="0.2">
      <c r="C250"/>
    </row>
    <row r="251" spans="3:3" x14ac:dyDescent="0.2">
      <c r="C251"/>
    </row>
    <row r="252" spans="3:3" x14ac:dyDescent="0.2">
      <c r="C252"/>
    </row>
    <row r="253" spans="3:3" x14ac:dyDescent="0.2">
      <c r="C253"/>
    </row>
    <row r="254" spans="3:3" x14ac:dyDescent="0.2">
      <c r="C254"/>
    </row>
    <row r="255" spans="3:3" x14ac:dyDescent="0.2">
      <c r="C255"/>
    </row>
    <row r="256" spans="3:3" x14ac:dyDescent="0.2">
      <c r="C256"/>
    </row>
    <row r="257" spans="3:3" x14ac:dyDescent="0.2">
      <c r="C257"/>
    </row>
    <row r="258" spans="3:3" x14ac:dyDescent="0.2">
      <c r="C258"/>
    </row>
    <row r="259" spans="3:3" x14ac:dyDescent="0.2">
      <c r="C259"/>
    </row>
    <row r="260" spans="3:3" x14ac:dyDescent="0.2">
      <c r="C260"/>
    </row>
    <row r="261" spans="3:3" x14ac:dyDescent="0.2">
      <c r="C261"/>
    </row>
    <row r="262" spans="3:3" x14ac:dyDescent="0.2">
      <c r="C262"/>
    </row>
    <row r="263" spans="3:3" x14ac:dyDescent="0.2">
      <c r="C263"/>
    </row>
    <row r="264" spans="3:3" x14ac:dyDescent="0.2">
      <c r="C264"/>
    </row>
    <row r="265" spans="3:3" x14ac:dyDescent="0.2">
      <c r="C265"/>
    </row>
    <row r="266" spans="3:3" x14ac:dyDescent="0.2">
      <c r="C266"/>
    </row>
    <row r="267" spans="3:3" x14ac:dyDescent="0.2">
      <c r="C267"/>
    </row>
    <row r="268" spans="3:3" x14ac:dyDescent="0.2">
      <c r="C268"/>
    </row>
    <row r="269" spans="3:3" x14ac:dyDescent="0.2">
      <c r="C269"/>
    </row>
    <row r="270" spans="3:3" x14ac:dyDescent="0.2">
      <c r="C270"/>
    </row>
    <row r="271" spans="3:3" x14ac:dyDescent="0.2">
      <c r="C271"/>
    </row>
    <row r="272" spans="3:3" x14ac:dyDescent="0.2">
      <c r="C272"/>
    </row>
    <row r="273" spans="3:3" x14ac:dyDescent="0.2">
      <c r="C273"/>
    </row>
    <row r="274" spans="3:3" x14ac:dyDescent="0.2">
      <c r="C274"/>
    </row>
    <row r="275" spans="3:3" x14ac:dyDescent="0.2">
      <c r="C275"/>
    </row>
    <row r="276" spans="3:3" x14ac:dyDescent="0.2">
      <c r="C276"/>
    </row>
    <row r="277" spans="3:3" x14ac:dyDescent="0.2">
      <c r="C277"/>
    </row>
    <row r="278" spans="3:3" x14ac:dyDescent="0.2">
      <c r="C278"/>
    </row>
    <row r="279" spans="3:3" x14ac:dyDescent="0.2">
      <c r="C279"/>
    </row>
    <row r="280" spans="3:3" x14ac:dyDescent="0.2">
      <c r="C280"/>
    </row>
    <row r="281" spans="3:3" x14ac:dyDescent="0.2">
      <c r="C281"/>
    </row>
    <row r="282" spans="3:3" x14ac:dyDescent="0.2">
      <c r="C282"/>
    </row>
    <row r="283" spans="3:3" x14ac:dyDescent="0.2">
      <c r="C283"/>
    </row>
    <row r="284" spans="3:3" x14ac:dyDescent="0.2">
      <c r="C284"/>
    </row>
    <row r="285" spans="3:3" x14ac:dyDescent="0.2">
      <c r="C285"/>
    </row>
    <row r="286" spans="3:3" x14ac:dyDescent="0.2">
      <c r="C286"/>
    </row>
    <row r="287" spans="3:3" x14ac:dyDescent="0.2">
      <c r="C287"/>
    </row>
    <row r="288" spans="3:3" x14ac:dyDescent="0.2">
      <c r="C288"/>
    </row>
    <row r="289" spans="3:3" x14ac:dyDescent="0.2">
      <c r="C289"/>
    </row>
    <row r="290" spans="3:3" x14ac:dyDescent="0.2">
      <c r="C290"/>
    </row>
    <row r="291" spans="3:3" x14ac:dyDescent="0.2">
      <c r="C291"/>
    </row>
    <row r="292" spans="3:3" x14ac:dyDescent="0.2">
      <c r="C292"/>
    </row>
    <row r="293" spans="3:3" x14ac:dyDescent="0.2">
      <c r="C293"/>
    </row>
    <row r="294" spans="3:3" x14ac:dyDescent="0.2">
      <c r="C294"/>
    </row>
    <row r="295" spans="3:3" x14ac:dyDescent="0.2">
      <c r="C295"/>
    </row>
    <row r="296" spans="3:3" x14ac:dyDescent="0.2">
      <c r="C296"/>
    </row>
    <row r="297" spans="3:3" x14ac:dyDescent="0.2">
      <c r="C297"/>
    </row>
    <row r="298" spans="3:3" x14ac:dyDescent="0.2">
      <c r="C298"/>
    </row>
    <row r="299" spans="3:3" x14ac:dyDescent="0.2">
      <c r="C299"/>
    </row>
    <row r="300" spans="3:3" x14ac:dyDescent="0.2">
      <c r="C300"/>
    </row>
    <row r="301" spans="3:3" x14ac:dyDescent="0.2">
      <c r="C301"/>
    </row>
    <row r="302" spans="3:3" x14ac:dyDescent="0.2">
      <c r="C302"/>
    </row>
    <row r="303" spans="3:3" x14ac:dyDescent="0.2">
      <c r="C303"/>
    </row>
    <row r="304" spans="3:3" x14ac:dyDescent="0.2">
      <c r="C304"/>
    </row>
    <row r="305" spans="3:3" x14ac:dyDescent="0.2">
      <c r="C305"/>
    </row>
    <row r="306" spans="3:3" x14ac:dyDescent="0.2">
      <c r="C306"/>
    </row>
    <row r="307" spans="3:3" x14ac:dyDescent="0.2">
      <c r="C307"/>
    </row>
    <row r="308" spans="3:3" x14ac:dyDescent="0.2">
      <c r="C308"/>
    </row>
    <row r="309" spans="3:3" x14ac:dyDescent="0.2">
      <c r="C309"/>
    </row>
    <row r="310" spans="3:3" x14ac:dyDescent="0.2">
      <c r="C310"/>
    </row>
    <row r="311" spans="3:3" x14ac:dyDescent="0.2">
      <c r="C311"/>
    </row>
    <row r="312" spans="3:3" x14ac:dyDescent="0.2">
      <c r="C312"/>
    </row>
    <row r="313" spans="3:3" x14ac:dyDescent="0.2">
      <c r="C313"/>
    </row>
    <row r="314" spans="3:3" x14ac:dyDescent="0.2">
      <c r="C314"/>
    </row>
    <row r="315" spans="3:3" x14ac:dyDescent="0.2">
      <c r="C315"/>
    </row>
    <row r="316" spans="3:3" x14ac:dyDescent="0.2">
      <c r="C316"/>
    </row>
    <row r="317" spans="3:3" x14ac:dyDescent="0.2">
      <c r="C317"/>
    </row>
    <row r="318" spans="3:3" x14ac:dyDescent="0.2">
      <c r="C318"/>
    </row>
    <row r="319" spans="3:3" x14ac:dyDescent="0.2">
      <c r="C319"/>
    </row>
    <row r="320" spans="3:3" x14ac:dyDescent="0.2">
      <c r="C320"/>
    </row>
    <row r="321" spans="3:3" x14ac:dyDescent="0.2">
      <c r="C321"/>
    </row>
    <row r="322" spans="3:3" x14ac:dyDescent="0.2">
      <c r="C322"/>
    </row>
    <row r="323" spans="3:3" x14ac:dyDescent="0.2">
      <c r="C323"/>
    </row>
    <row r="324" spans="3:3" x14ac:dyDescent="0.2">
      <c r="C324"/>
    </row>
    <row r="325" spans="3:3" x14ac:dyDescent="0.2">
      <c r="C325"/>
    </row>
    <row r="326" spans="3:3" x14ac:dyDescent="0.2">
      <c r="C326"/>
    </row>
    <row r="327" spans="3:3" x14ac:dyDescent="0.2">
      <c r="C327"/>
    </row>
    <row r="328" spans="3:3" x14ac:dyDescent="0.2">
      <c r="C328"/>
    </row>
    <row r="329" spans="3:3" x14ac:dyDescent="0.2">
      <c r="C329"/>
    </row>
    <row r="330" spans="3:3" x14ac:dyDescent="0.2">
      <c r="C330"/>
    </row>
    <row r="331" spans="3:3" x14ac:dyDescent="0.2">
      <c r="C331"/>
    </row>
    <row r="332" spans="3:3" x14ac:dyDescent="0.2">
      <c r="C332"/>
    </row>
    <row r="333" spans="3:3" x14ac:dyDescent="0.2">
      <c r="C333"/>
    </row>
    <row r="334" spans="3:3" x14ac:dyDescent="0.2">
      <c r="C334"/>
    </row>
    <row r="335" spans="3:3" x14ac:dyDescent="0.2">
      <c r="C335"/>
    </row>
    <row r="336" spans="3:3" x14ac:dyDescent="0.2">
      <c r="C336"/>
    </row>
  </sheetData>
  <mergeCells count="1">
    <mergeCell ref="B4:E4"/>
  </mergeCells>
  <phoneticPr fontId="0" type="noConversion"/>
  <pageMargins left="1" right="0.5" top="1" bottom="0.25" header="0.5" footer="0.5"/>
  <pageSetup scale="98" orientation="portrait" horizontalDpi="300" verticalDpi="300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1"/>
  <dimension ref="A1:H41"/>
  <sheetViews>
    <sheetView showGridLines="0" topLeftCell="A14" zoomScaleNormal="100" workbookViewId="0">
      <selection activeCell="G14" sqref="G1:G1048576"/>
    </sheetView>
  </sheetViews>
  <sheetFormatPr defaultColWidth="8.7109375" defaultRowHeight="12.75" x14ac:dyDescent="0.2"/>
  <cols>
    <col min="1" max="1" width="35.7109375" bestFit="1" customWidth="1"/>
    <col min="2" max="2" width="10.7109375" customWidth="1"/>
    <col min="3" max="3" width="11" bestFit="1" customWidth="1"/>
    <col min="4" max="4" width="10.28515625" bestFit="1" customWidth="1"/>
    <col min="5" max="5" width="9.28515625" bestFit="1" customWidth="1"/>
  </cols>
  <sheetData>
    <row r="1" spans="1:8" ht="15.75" x14ac:dyDescent="0.25">
      <c r="A1" s="3" t="str">
        <f>'Ann Sess'!A1</f>
        <v>2026 Budget</v>
      </c>
      <c r="B1" s="3" t="s">
        <v>207</v>
      </c>
    </row>
    <row r="2" spans="1:8" ht="15.75" x14ac:dyDescent="0.25">
      <c r="A2" s="359" t="str">
        <f>'Ann Sess'!A2</f>
        <v>1st Draft</v>
      </c>
      <c r="B2" s="3"/>
    </row>
    <row r="3" spans="1:8" ht="15.75" x14ac:dyDescent="0.25">
      <c r="A3" s="100"/>
      <c r="B3" s="3" t="s">
        <v>5</v>
      </c>
    </row>
    <row r="4" spans="1:8" ht="15.75" customHeight="1" x14ac:dyDescent="0.2">
      <c r="B4" s="417" t="s">
        <v>521</v>
      </c>
      <c r="C4" s="418"/>
      <c r="D4" s="418"/>
      <c r="E4" s="418"/>
    </row>
    <row r="5" spans="1:8" ht="15" x14ac:dyDescent="0.25">
      <c r="A5" s="63" t="s">
        <v>26</v>
      </c>
      <c r="B5" s="63">
        <f>'Ann Sess'!B5</f>
        <v>2025</v>
      </c>
      <c r="C5" s="63">
        <f>'Ann Sess'!C5</f>
        <v>2026</v>
      </c>
      <c r="D5" s="4" t="s">
        <v>44</v>
      </c>
      <c r="E5" s="49" t="s">
        <v>44</v>
      </c>
    </row>
    <row r="6" spans="1:8" ht="15" x14ac:dyDescent="0.25">
      <c r="A6" s="46" t="s">
        <v>41</v>
      </c>
      <c r="B6" s="46" t="s">
        <v>43</v>
      </c>
      <c r="C6" s="46" t="s">
        <v>120</v>
      </c>
      <c r="D6" s="5" t="s">
        <v>45</v>
      </c>
      <c r="E6" s="46" t="s">
        <v>46</v>
      </c>
    </row>
    <row r="7" spans="1:8" x14ac:dyDescent="0.2">
      <c r="A7" s="145"/>
      <c r="B7" s="2"/>
      <c r="C7" s="2"/>
      <c r="D7" s="2"/>
      <c r="E7" s="50"/>
    </row>
    <row r="8" spans="1:8" x14ac:dyDescent="0.2">
      <c r="A8" s="6"/>
      <c r="B8" s="11"/>
      <c r="C8" s="11"/>
      <c r="D8" s="2"/>
      <c r="E8" s="6"/>
    </row>
    <row r="9" spans="1:8" ht="15.75" x14ac:dyDescent="0.25">
      <c r="A9" s="144" t="s">
        <v>10</v>
      </c>
      <c r="B9" s="11"/>
      <c r="C9" s="11"/>
      <c r="D9" s="2"/>
      <c r="E9" s="6"/>
      <c r="H9" s="200"/>
    </row>
    <row r="10" spans="1:8" x14ac:dyDescent="0.2">
      <c r="A10" s="167" t="s">
        <v>102</v>
      </c>
      <c r="B10" s="75"/>
      <c r="C10" s="75"/>
      <c r="D10" s="2"/>
      <c r="E10" s="6"/>
    </row>
    <row r="11" spans="1:8" x14ac:dyDescent="0.2">
      <c r="A11" s="167" t="s">
        <v>103</v>
      </c>
      <c r="B11" s="88">
        <v>2400</v>
      </c>
      <c r="C11" s="88">
        <v>2400</v>
      </c>
      <c r="D11" s="11">
        <f t="shared" ref="D11:D16" si="0">C11-B11</f>
        <v>0</v>
      </c>
      <c r="E11" s="59">
        <f>(D11/B11)</f>
        <v>0</v>
      </c>
    </row>
    <row r="12" spans="1:8" x14ac:dyDescent="0.2">
      <c r="A12" s="6" t="s">
        <v>235</v>
      </c>
      <c r="B12" s="88">
        <v>800</v>
      </c>
      <c r="C12" s="88">
        <v>800</v>
      </c>
      <c r="D12" s="11">
        <f t="shared" si="0"/>
        <v>0</v>
      </c>
      <c r="E12" s="59">
        <f>(D12/B12)</f>
        <v>0</v>
      </c>
    </row>
    <row r="13" spans="1:8" x14ac:dyDescent="0.2">
      <c r="A13" s="167" t="s">
        <v>104</v>
      </c>
      <c r="B13" s="108">
        <v>2300</v>
      </c>
      <c r="C13" s="108">
        <v>1500</v>
      </c>
      <c r="D13" s="11">
        <f t="shared" si="0"/>
        <v>-800</v>
      </c>
      <c r="E13" s="59">
        <f>(D13/B13)</f>
        <v>-0.34782608695652173</v>
      </c>
    </row>
    <row r="14" spans="1:8" x14ac:dyDescent="0.2">
      <c r="A14" s="167" t="s">
        <v>175</v>
      </c>
      <c r="B14" s="108">
        <v>20000</v>
      </c>
      <c r="C14" s="108">
        <v>17000</v>
      </c>
      <c r="D14" s="11">
        <f t="shared" si="0"/>
        <v>-3000</v>
      </c>
      <c r="E14" s="59">
        <v>0</v>
      </c>
    </row>
    <row r="15" spans="1:8" x14ac:dyDescent="0.2">
      <c r="A15" s="167" t="s">
        <v>174</v>
      </c>
      <c r="B15" s="108">
        <v>10000</v>
      </c>
      <c r="C15" s="108">
        <v>5100</v>
      </c>
      <c r="D15" s="11">
        <f t="shared" si="0"/>
        <v>-4900</v>
      </c>
      <c r="E15" s="59">
        <f>(D15/B15)</f>
        <v>-0.49</v>
      </c>
      <c r="F15" s="35"/>
    </row>
    <row r="16" spans="1:8" x14ac:dyDescent="0.2">
      <c r="A16" s="58" t="s">
        <v>465</v>
      </c>
      <c r="B16" s="326">
        <v>2500</v>
      </c>
      <c r="C16" s="326">
        <v>2500</v>
      </c>
      <c r="D16" s="155">
        <f t="shared" si="0"/>
        <v>0</v>
      </c>
      <c r="E16" s="139">
        <f>(D16/B16)</f>
        <v>0</v>
      </c>
      <c r="F16" s="35"/>
    </row>
    <row r="17" spans="1:5" x14ac:dyDescent="0.2">
      <c r="A17" s="167"/>
      <c r="B17" s="75">
        <f>SUM(B11:B16)</f>
        <v>38000</v>
      </c>
      <c r="C17" s="75">
        <f>SUM(C11:C16)</f>
        <v>29300</v>
      </c>
      <c r="D17" s="75">
        <f>SUM(D11:D16)</f>
        <v>-8700</v>
      </c>
      <c r="E17" s="51">
        <f>(D17/B17)</f>
        <v>-0.22894736842105262</v>
      </c>
    </row>
    <row r="18" spans="1:5" x14ac:dyDescent="0.2">
      <c r="A18" s="144" t="s">
        <v>11</v>
      </c>
      <c r="B18" s="75"/>
      <c r="C18" s="75"/>
      <c r="D18" s="11"/>
      <c r="E18" s="51"/>
    </row>
    <row r="19" spans="1:5" x14ac:dyDescent="0.2">
      <c r="A19" s="167" t="s">
        <v>105</v>
      </c>
      <c r="B19" s="75"/>
      <c r="C19" s="75"/>
      <c r="D19" s="11"/>
      <c r="E19" s="51"/>
    </row>
    <row r="20" spans="1:5" x14ac:dyDescent="0.2">
      <c r="A20" s="58" t="s">
        <v>384</v>
      </c>
      <c r="B20" s="75">
        <f>106*100*3</f>
        <v>31800</v>
      </c>
      <c r="C20" s="75">
        <f>106*100*3</f>
        <v>31800</v>
      </c>
      <c r="D20" s="11">
        <f>C20-B20</f>
        <v>0</v>
      </c>
      <c r="E20" s="51">
        <f>(D20/B20)</f>
        <v>0</v>
      </c>
    </row>
    <row r="21" spans="1:5" x14ac:dyDescent="0.2">
      <c r="A21" s="167" t="s">
        <v>106</v>
      </c>
      <c r="B21" s="75">
        <v>600</v>
      </c>
      <c r="C21" s="75">
        <v>600</v>
      </c>
      <c r="D21" s="11">
        <f>C21-B21</f>
        <v>0</v>
      </c>
      <c r="E21" s="51">
        <f>(D21/B21)</f>
        <v>0</v>
      </c>
    </row>
    <row r="22" spans="1:5" x14ac:dyDescent="0.2">
      <c r="A22" s="58" t="s">
        <v>287</v>
      </c>
      <c r="B22" s="75">
        <v>900</v>
      </c>
      <c r="C22" s="75">
        <v>900</v>
      </c>
      <c r="D22" s="11">
        <f>C22-B22</f>
        <v>0</v>
      </c>
      <c r="E22" s="51">
        <f>(D22/B22)</f>
        <v>0</v>
      </c>
    </row>
    <row r="23" spans="1:5" x14ac:dyDescent="0.2">
      <c r="A23" s="167" t="s">
        <v>107</v>
      </c>
      <c r="B23" s="160">
        <v>300</v>
      </c>
      <c r="C23" s="160">
        <v>300</v>
      </c>
      <c r="D23" s="155">
        <f>C23-B23</f>
        <v>0</v>
      </c>
      <c r="E23" s="139">
        <f>(D23/B23)</f>
        <v>0</v>
      </c>
    </row>
    <row r="24" spans="1:5" x14ac:dyDescent="0.2">
      <c r="A24" s="167"/>
      <c r="B24" s="75">
        <f>SUM(B20:B23)</f>
        <v>33600</v>
      </c>
      <c r="C24" s="75">
        <f>SUM(C20:C23)</f>
        <v>33600</v>
      </c>
      <c r="D24" s="75">
        <f>SUM(D20:D23)</f>
        <v>0</v>
      </c>
      <c r="E24" s="51">
        <f>(D24/B24)</f>
        <v>0</v>
      </c>
    </row>
    <row r="25" spans="1:5" hidden="1" x14ac:dyDescent="0.2">
      <c r="A25" s="167"/>
      <c r="B25" s="75"/>
      <c r="C25" s="75"/>
      <c r="D25" s="11"/>
      <c r="E25" s="51"/>
    </row>
    <row r="26" spans="1:5" hidden="1" x14ac:dyDescent="0.2">
      <c r="A26" s="144"/>
      <c r="B26" s="88"/>
      <c r="C26" s="88"/>
      <c r="D26" s="13"/>
      <c r="E26" s="6"/>
    </row>
    <row r="27" spans="1:5" hidden="1" x14ac:dyDescent="0.2">
      <c r="A27" s="167"/>
      <c r="B27" s="293"/>
      <c r="C27" s="293"/>
      <c r="D27" s="11"/>
      <c r="E27" s="51"/>
    </row>
    <row r="28" spans="1:5" x14ac:dyDescent="0.2">
      <c r="A28" s="144" t="s">
        <v>14</v>
      </c>
      <c r="B28" s="75"/>
      <c r="C28" s="75"/>
      <c r="D28" s="11"/>
      <c r="E28" s="51"/>
    </row>
    <row r="29" spans="1:5" x14ac:dyDescent="0.2">
      <c r="A29" s="58" t="s">
        <v>288</v>
      </c>
      <c r="B29" s="88">
        <v>200</v>
      </c>
      <c r="C29" s="88">
        <v>0</v>
      </c>
      <c r="D29" s="11">
        <f>C29-B29</f>
        <v>-200</v>
      </c>
      <c r="E29" s="51">
        <f>(D29/B29)</f>
        <v>-1</v>
      </c>
    </row>
    <row r="30" spans="1:5" x14ac:dyDescent="0.2">
      <c r="A30" s="167"/>
      <c r="B30" s="75"/>
      <c r="C30" s="75"/>
      <c r="D30" s="11"/>
      <c r="E30" s="51"/>
    </row>
    <row r="31" spans="1:5" x14ac:dyDescent="0.2">
      <c r="A31" s="144" t="s">
        <v>16</v>
      </c>
      <c r="B31" s="75"/>
      <c r="C31" s="75"/>
      <c r="D31" s="11"/>
      <c r="E31" s="51"/>
    </row>
    <row r="32" spans="1:5" x14ac:dyDescent="0.2">
      <c r="A32" s="58" t="s">
        <v>289</v>
      </c>
      <c r="B32" s="88">
        <v>500</v>
      </c>
      <c r="C32" s="88">
        <v>100</v>
      </c>
      <c r="D32" s="11">
        <f>C32-B32</f>
        <v>-400</v>
      </c>
      <c r="E32" s="51">
        <f>(D32/B32)</f>
        <v>-0.8</v>
      </c>
    </row>
    <row r="33" spans="1:5" x14ac:dyDescent="0.2">
      <c r="A33" s="167"/>
      <c r="B33" s="88"/>
      <c r="C33" s="88"/>
      <c r="D33" s="11"/>
      <c r="E33" s="51"/>
    </row>
    <row r="34" spans="1:5" x14ac:dyDescent="0.2">
      <c r="A34" s="144" t="s">
        <v>15</v>
      </c>
      <c r="B34" s="88"/>
      <c r="C34" s="88"/>
      <c r="D34" s="11"/>
      <c r="E34" s="51"/>
    </row>
    <row r="35" spans="1:5" x14ac:dyDescent="0.2">
      <c r="A35" s="58" t="s">
        <v>284</v>
      </c>
      <c r="B35" s="125">
        <v>250</v>
      </c>
      <c r="C35" s="125">
        <v>100</v>
      </c>
      <c r="D35" s="155">
        <f>C35-B35</f>
        <v>-150</v>
      </c>
      <c r="E35" s="139">
        <f>(D35/B35)</f>
        <v>-0.6</v>
      </c>
    </row>
    <row r="36" spans="1:5" x14ac:dyDescent="0.2">
      <c r="A36" s="167"/>
      <c r="B36" s="88">
        <f>SUM(B35:B35)</f>
        <v>250</v>
      </c>
      <c r="C36" s="88">
        <f>SUM(C35:C35)</f>
        <v>100</v>
      </c>
      <c r="D36" s="88">
        <f>SUM(D35:D35)</f>
        <v>-150</v>
      </c>
      <c r="E36" s="51">
        <f>(D36/B36)</f>
        <v>-0.6</v>
      </c>
    </row>
    <row r="37" spans="1:5" x14ac:dyDescent="0.2">
      <c r="A37" s="167"/>
      <c r="B37" s="88"/>
      <c r="C37" s="88"/>
      <c r="D37" s="75"/>
      <c r="E37" s="51"/>
    </row>
    <row r="38" spans="1:5" x14ac:dyDescent="0.2">
      <c r="A38" s="144" t="s">
        <v>17</v>
      </c>
      <c r="B38" s="75">
        <v>1000</v>
      </c>
      <c r="C38" s="75">
        <v>500</v>
      </c>
      <c r="D38" s="152">
        <f>C38-B38</f>
        <v>-500</v>
      </c>
      <c r="E38" s="51">
        <f>(D38/B38)</f>
        <v>-0.5</v>
      </c>
    </row>
    <row r="39" spans="1:5" x14ac:dyDescent="0.2">
      <c r="A39" s="6"/>
      <c r="B39" s="88"/>
      <c r="C39" s="88"/>
      <c r="D39" s="11"/>
      <c r="E39" s="51"/>
    </row>
    <row r="40" spans="1:5" ht="15.75" thickBot="1" x14ac:dyDescent="0.3">
      <c r="A40" s="166" t="s">
        <v>22</v>
      </c>
      <c r="B40" s="202">
        <f>SUM(B32+B29+B27+B24+B17+B36+B38)</f>
        <v>73550</v>
      </c>
      <c r="C40" s="202">
        <f>SUM(C32+C29+C27+C24+C17+C36+C38)</f>
        <v>63600</v>
      </c>
      <c r="D40" s="202">
        <f>SUM(D32+D29+D27+D24+D17+D36+D38)</f>
        <v>-9950</v>
      </c>
      <c r="E40" s="143">
        <f>(D40/B40)</f>
        <v>-0.13528212100611828</v>
      </c>
    </row>
    <row r="41" spans="1:5" ht="13.5" thickTop="1" x14ac:dyDescent="0.2">
      <c r="A41" s="146"/>
      <c r="B41" s="47"/>
      <c r="C41" s="47"/>
      <c r="D41" s="47"/>
      <c r="E41" s="149"/>
    </row>
  </sheetData>
  <mergeCells count="1">
    <mergeCell ref="B4:E4"/>
  </mergeCells>
  <phoneticPr fontId="0" type="noConversion"/>
  <pageMargins left="0.91" right="0.35" top="1" bottom="1" header="0.5" footer="0.5"/>
  <pageSetup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35"/>
  <sheetViews>
    <sheetView showGridLines="0" zoomScaleNormal="100" workbookViewId="0">
      <selection activeCell="C34" sqref="C34"/>
    </sheetView>
  </sheetViews>
  <sheetFormatPr defaultColWidth="8.7109375" defaultRowHeight="12.75" x14ac:dyDescent="0.2"/>
  <cols>
    <col min="1" max="1" width="32.42578125" bestFit="1" customWidth="1"/>
    <col min="2" max="2" width="10.7109375" customWidth="1"/>
    <col min="3" max="3" width="10.7109375" bestFit="1" customWidth="1"/>
    <col min="4" max="4" width="9.7109375" bestFit="1" customWidth="1"/>
    <col min="5" max="5" width="9.28515625" bestFit="1" customWidth="1"/>
  </cols>
  <sheetData>
    <row r="1" spans="1:7" ht="15.75" x14ac:dyDescent="0.25">
      <c r="A1" s="3" t="str">
        <f>'Ann Sess'!A1</f>
        <v>2026 Budget</v>
      </c>
      <c r="B1" s="3" t="s">
        <v>3</v>
      </c>
    </row>
    <row r="2" spans="1:7" ht="15.75" x14ac:dyDescent="0.25">
      <c r="A2" s="359" t="str">
        <f>'Ann Sess'!A2</f>
        <v>1st Draft</v>
      </c>
      <c r="B2" s="3"/>
    </row>
    <row r="3" spans="1:7" ht="15.75" x14ac:dyDescent="0.25">
      <c r="A3" s="100"/>
      <c r="B3" s="3" t="s">
        <v>398</v>
      </c>
    </row>
    <row r="4" spans="1:7" x14ac:dyDescent="0.2">
      <c r="D4" s="7" t="s">
        <v>0</v>
      </c>
      <c r="E4" s="47"/>
    </row>
    <row r="5" spans="1:7" ht="15" x14ac:dyDescent="0.25">
      <c r="A5" s="63" t="s">
        <v>26</v>
      </c>
      <c r="B5" s="63">
        <f>'Ann Sess'!B5</f>
        <v>2025</v>
      </c>
      <c r="C5" s="63">
        <f>'Ann Sess'!C5</f>
        <v>2026</v>
      </c>
      <c r="D5" s="4" t="s">
        <v>44</v>
      </c>
      <c r="E5" s="55" t="s">
        <v>44</v>
      </c>
    </row>
    <row r="6" spans="1:7" ht="15" x14ac:dyDescent="0.25">
      <c r="A6" s="46" t="s">
        <v>41</v>
      </c>
      <c r="B6" s="46" t="s">
        <v>43</v>
      </c>
      <c r="C6" s="46" t="s">
        <v>120</v>
      </c>
      <c r="D6" s="5" t="s">
        <v>45</v>
      </c>
      <c r="E6" s="56" t="s">
        <v>46</v>
      </c>
    </row>
    <row r="7" spans="1:7" ht="15" x14ac:dyDescent="0.25">
      <c r="A7" s="162"/>
      <c r="B7" s="50"/>
      <c r="C7" s="50"/>
      <c r="E7" s="6"/>
    </row>
    <row r="8" spans="1:7" x14ac:dyDescent="0.2">
      <c r="A8" s="6"/>
      <c r="B8" s="6"/>
      <c r="C8" s="6"/>
      <c r="E8" s="6"/>
    </row>
    <row r="9" spans="1:7" x14ac:dyDescent="0.2">
      <c r="A9" s="144" t="s">
        <v>10</v>
      </c>
      <c r="B9" s="17"/>
      <c r="C9" s="17"/>
      <c r="E9" s="6"/>
    </row>
    <row r="10" spans="1:7" x14ac:dyDescent="0.2">
      <c r="A10" s="58" t="s">
        <v>394</v>
      </c>
      <c r="B10" s="220">
        <v>1960</v>
      </c>
      <c r="C10" s="220">
        <f>2*7*140</f>
        <v>1960</v>
      </c>
      <c r="D10" s="11">
        <f>C10-B10</f>
        <v>0</v>
      </c>
      <c r="E10" s="51">
        <f>(D10/B10)</f>
        <v>0</v>
      </c>
    </row>
    <row r="11" spans="1:7" x14ac:dyDescent="0.2">
      <c r="A11" s="6"/>
      <c r="B11" s="13"/>
      <c r="C11" s="13"/>
      <c r="D11" s="222"/>
      <c r="E11" s="6"/>
    </row>
    <row r="12" spans="1:7" x14ac:dyDescent="0.2">
      <c r="A12" s="144" t="s">
        <v>11</v>
      </c>
      <c r="B12" s="13"/>
      <c r="C12" s="13"/>
      <c r="D12" s="30"/>
      <c r="E12" s="6"/>
    </row>
    <row r="13" spans="1:7" x14ac:dyDescent="0.2">
      <c r="A13" s="58" t="s">
        <v>400</v>
      </c>
      <c r="B13" s="13">
        <v>1000</v>
      </c>
      <c r="C13" s="13">
        <f>2*5*100</f>
        <v>1000</v>
      </c>
      <c r="D13" s="11">
        <f>C13-B13</f>
        <v>0</v>
      </c>
      <c r="E13" s="51">
        <f>(D13/B13)</f>
        <v>0</v>
      </c>
      <c r="G13" s="60"/>
    </row>
    <row r="14" spans="1:7" x14ac:dyDescent="0.2">
      <c r="A14" s="58" t="s">
        <v>399</v>
      </c>
      <c r="B14" s="99">
        <v>540</v>
      </c>
      <c r="C14" s="99">
        <f>2*135*2</f>
        <v>540</v>
      </c>
      <c r="D14" s="287">
        <f>C14-B14</f>
        <v>0</v>
      </c>
      <c r="E14" s="101">
        <f>(D14/B14)</f>
        <v>0</v>
      </c>
    </row>
    <row r="15" spans="1:7" x14ac:dyDescent="0.2">
      <c r="A15" s="2"/>
      <c r="B15" s="306">
        <v>1540</v>
      </c>
      <c r="C15" s="306">
        <f>SUM(C13:C14)</f>
        <v>1540</v>
      </c>
      <c r="D15" s="13">
        <f>SUM(D13:D14)</f>
        <v>0</v>
      </c>
      <c r="E15" s="51">
        <f>(D15/B15)</f>
        <v>0</v>
      </c>
    </row>
    <row r="16" spans="1:7" x14ac:dyDescent="0.2">
      <c r="A16" s="6"/>
      <c r="B16" s="13"/>
      <c r="C16" s="13"/>
      <c r="D16" s="30"/>
      <c r="E16" s="51"/>
    </row>
    <row r="17" spans="1:5" x14ac:dyDescent="0.2">
      <c r="A17" s="144" t="s">
        <v>12</v>
      </c>
      <c r="B17" s="13"/>
      <c r="C17" s="13"/>
      <c r="D17" s="13"/>
      <c r="E17" s="6"/>
    </row>
    <row r="18" spans="1:5" x14ac:dyDescent="0.2">
      <c r="A18" s="58" t="s">
        <v>72</v>
      </c>
      <c r="B18" s="33">
        <v>500</v>
      </c>
      <c r="C18" s="33">
        <v>500</v>
      </c>
      <c r="D18" s="11">
        <f>C18-B18</f>
        <v>0</v>
      </c>
      <c r="E18" s="51">
        <f>(D18/B18)</f>
        <v>0</v>
      </c>
    </row>
    <row r="19" spans="1:5" x14ac:dyDescent="0.2">
      <c r="A19" s="6"/>
      <c r="B19" s="13"/>
      <c r="C19" s="13"/>
      <c r="D19" s="30"/>
      <c r="E19" s="6"/>
    </row>
    <row r="20" spans="1:5" x14ac:dyDescent="0.2">
      <c r="A20" s="144" t="s">
        <v>13</v>
      </c>
      <c r="B20" s="13"/>
      <c r="C20" s="13"/>
      <c r="D20" s="30"/>
      <c r="E20" s="6"/>
    </row>
    <row r="21" spans="1:5" x14ac:dyDescent="0.2">
      <c r="A21" s="58" t="s">
        <v>72</v>
      </c>
      <c r="B21" s="88">
        <v>0</v>
      </c>
      <c r="C21" s="88">
        <v>0</v>
      </c>
      <c r="D21" s="11">
        <f>C21-B21</f>
        <v>0</v>
      </c>
      <c r="E21" s="51" t="e">
        <f>(D21/B21)</f>
        <v>#DIV/0!</v>
      </c>
    </row>
    <row r="22" spans="1:5" x14ac:dyDescent="0.2">
      <c r="A22" s="6"/>
      <c r="B22" s="13"/>
      <c r="C22" s="13"/>
      <c r="D22" s="159"/>
      <c r="E22" s="51"/>
    </row>
    <row r="23" spans="1:5" x14ac:dyDescent="0.2">
      <c r="A23" s="144" t="s">
        <v>14</v>
      </c>
      <c r="B23" s="13"/>
      <c r="C23" s="13"/>
      <c r="D23" s="13"/>
      <c r="E23" s="6"/>
    </row>
    <row r="24" spans="1:5" x14ac:dyDescent="0.2">
      <c r="A24" s="58" t="s">
        <v>72</v>
      </c>
      <c r="B24" s="33">
        <v>0</v>
      </c>
      <c r="C24" s="33">
        <v>0</v>
      </c>
      <c r="D24" s="13">
        <f>C24-B24</f>
        <v>0</v>
      </c>
      <c r="E24" s="51" t="e">
        <f>(D24/B24)</f>
        <v>#DIV/0!</v>
      </c>
    </row>
    <row r="25" spans="1:5" x14ac:dyDescent="0.2">
      <c r="A25" s="6"/>
      <c r="B25" s="13"/>
      <c r="C25" s="13"/>
      <c r="D25" s="13"/>
      <c r="E25" s="51"/>
    </row>
    <row r="26" spans="1:5" x14ac:dyDescent="0.2">
      <c r="A26" s="144" t="s">
        <v>15</v>
      </c>
      <c r="B26" s="13"/>
      <c r="C26" s="13"/>
      <c r="D26" s="13"/>
      <c r="E26" s="6"/>
    </row>
    <row r="27" spans="1:5" x14ac:dyDescent="0.2">
      <c r="A27" s="58" t="s">
        <v>72</v>
      </c>
      <c r="B27" s="33">
        <v>0</v>
      </c>
      <c r="C27" s="33">
        <v>0</v>
      </c>
      <c r="D27" s="13">
        <f>C27-B27</f>
        <v>0</v>
      </c>
      <c r="E27" s="51" t="e">
        <f>(D27/B27)</f>
        <v>#DIV/0!</v>
      </c>
    </row>
    <row r="28" spans="1:5" x14ac:dyDescent="0.2">
      <c r="A28" s="58"/>
      <c r="B28" s="33"/>
      <c r="C28" s="33"/>
      <c r="D28" s="13"/>
      <c r="E28" s="51"/>
    </row>
    <row r="29" spans="1:5" x14ac:dyDescent="0.2">
      <c r="A29" s="144" t="s">
        <v>375</v>
      </c>
      <c r="B29" s="33"/>
      <c r="C29" s="33"/>
      <c r="D29" s="13"/>
      <c r="E29" s="51"/>
    </row>
    <row r="30" spans="1:5" x14ac:dyDescent="0.2">
      <c r="A30" s="58" t="s">
        <v>72</v>
      </c>
      <c r="B30" s="13">
        <v>0</v>
      </c>
      <c r="C30" s="13">
        <v>0</v>
      </c>
      <c r="D30" s="13">
        <f>C30-B30</f>
        <v>0</v>
      </c>
      <c r="E30" s="51" t="e">
        <f>(D30/B30)</f>
        <v>#DIV/0!</v>
      </c>
    </row>
    <row r="31" spans="1:5" x14ac:dyDescent="0.2">
      <c r="A31" s="144"/>
      <c r="B31" s="13"/>
      <c r="C31" s="13"/>
      <c r="D31" s="159"/>
      <c r="E31" s="6"/>
    </row>
    <row r="32" spans="1:5" x14ac:dyDescent="0.2">
      <c r="A32" s="144"/>
      <c r="B32" s="13"/>
      <c r="C32" s="13"/>
      <c r="D32" s="159"/>
      <c r="E32" s="6"/>
    </row>
    <row r="33" spans="1:5" x14ac:dyDescent="0.2">
      <c r="A33" s="6"/>
      <c r="B33" s="13"/>
      <c r="C33" s="13"/>
      <c r="D33" s="159"/>
      <c r="E33" s="6"/>
    </row>
    <row r="34" spans="1:5" ht="15.75" thickBot="1" x14ac:dyDescent="0.3">
      <c r="A34" s="77" t="s">
        <v>22</v>
      </c>
      <c r="B34" s="156">
        <f>B10+B15+B18+B21+B24+B27+B30</f>
        <v>4000</v>
      </c>
      <c r="C34" s="156">
        <f>C10+C15+C18+C21+C24+C27+C30</f>
        <v>4000</v>
      </c>
      <c r="D34" s="156">
        <f>D10+D15+D18+D21+D24+D27+D30</f>
        <v>0</v>
      </c>
      <c r="E34" s="156" t="e">
        <f>E10+E15+E18+E21+E24+E27+E30</f>
        <v>#DIV/0!</v>
      </c>
    </row>
    <row r="35" spans="1:5" ht="13.5" thickTop="1" x14ac:dyDescent="0.2">
      <c r="A35" s="146"/>
      <c r="B35" s="183"/>
      <c r="C35" s="183"/>
      <c r="D35" s="47"/>
      <c r="E35" s="149"/>
    </row>
  </sheetData>
  <pageMargins left="0.94" right="0.5" top="1" bottom="1" header="0.5" footer="0.5"/>
  <pageSetup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4"/>
  <dimension ref="A1:E50"/>
  <sheetViews>
    <sheetView showGridLines="0" topLeftCell="A21" zoomScaleNormal="100" workbookViewId="0">
      <selection activeCell="G2" sqref="G1:G1048576"/>
    </sheetView>
  </sheetViews>
  <sheetFormatPr defaultColWidth="8.7109375" defaultRowHeight="12.75" x14ac:dyDescent="0.2"/>
  <cols>
    <col min="1" max="1" width="37.28515625" bestFit="1" customWidth="1"/>
    <col min="2" max="2" width="10.7109375" customWidth="1"/>
    <col min="3" max="3" width="10.7109375" bestFit="1" customWidth="1"/>
    <col min="4" max="5" width="9.7109375" bestFit="1" customWidth="1"/>
  </cols>
  <sheetData>
    <row r="1" spans="1:5" ht="15.75" x14ac:dyDescent="0.25">
      <c r="A1" s="3" t="str">
        <f>'Ann Sess'!A1</f>
        <v>2026 Budget</v>
      </c>
      <c r="B1" s="3" t="s">
        <v>205</v>
      </c>
      <c r="D1" s="8"/>
    </row>
    <row r="2" spans="1:5" ht="15.75" x14ac:dyDescent="0.25">
      <c r="A2" s="359" t="str">
        <f>'Ann Sess'!A2</f>
        <v>1st Draft</v>
      </c>
      <c r="B2" s="3"/>
      <c r="D2" s="8"/>
    </row>
    <row r="3" spans="1:5" ht="15.75" x14ac:dyDescent="0.25">
      <c r="A3" s="100"/>
      <c r="B3" s="3" t="s">
        <v>195</v>
      </c>
      <c r="D3" s="9"/>
    </row>
    <row r="4" spans="1:5" x14ac:dyDescent="0.2">
      <c r="D4" s="7" t="s">
        <v>0</v>
      </c>
    </row>
    <row r="5" spans="1:5" ht="15" x14ac:dyDescent="0.25">
      <c r="A5" s="63" t="s">
        <v>26</v>
      </c>
      <c r="B5" s="63">
        <f>'Ann Sess'!B5</f>
        <v>2025</v>
      </c>
      <c r="C5" s="63">
        <f>'Ann Sess'!C5</f>
        <v>2026</v>
      </c>
      <c r="D5" s="4" t="s">
        <v>44</v>
      </c>
      <c r="E5" s="57" t="s">
        <v>44</v>
      </c>
    </row>
    <row r="6" spans="1:5" ht="15" x14ac:dyDescent="0.25">
      <c r="A6" s="46" t="s">
        <v>41</v>
      </c>
      <c r="B6" s="46" t="s">
        <v>43</v>
      </c>
      <c r="C6" s="46" t="s">
        <v>120</v>
      </c>
      <c r="D6" s="46" t="s">
        <v>45</v>
      </c>
      <c r="E6" s="46" t="s">
        <v>46</v>
      </c>
    </row>
    <row r="7" spans="1:5" ht="15" x14ac:dyDescent="0.25">
      <c r="A7" s="162"/>
      <c r="B7" s="6"/>
      <c r="C7" s="6"/>
      <c r="D7" s="58"/>
      <c r="E7" s="6"/>
    </row>
    <row r="8" spans="1:5" x14ac:dyDescent="0.2">
      <c r="A8" s="167"/>
      <c r="B8" s="17"/>
      <c r="C8" s="17"/>
      <c r="D8" s="58"/>
      <c r="E8" s="6"/>
    </row>
    <row r="9" spans="1:5" x14ac:dyDescent="0.2">
      <c r="A9" s="144" t="s">
        <v>10</v>
      </c>
      <c r="B9" s="17"/>
      <c r="C9" s="17"/>
      <c r="D9" s="58"/>
      <c r="E9" s="6"/>
    </row>
    <row r="10" spans="1:5" x14ac:dyDescent="0.2">
      <c r="A10" s="58" t="s">
        <v>386</v>
      </c>
      <c r="B10" s="88">
        <v>0</v>
      </c>
      <c r="C10" s="88">
        <v>0</v>
      </c>
      <c r="D10" s="33">
        <f>C10-B10</f>
        <v>0</v>
      </c>
      <c r="E10" s="51">
        <v>0</v>
      </c>
    </row>
    <row r="11" spans="1:5" x14ac:dyDescent="0.2">
      <c r="A11" s="58" t="s">
        <v>359</v>
      </c>
      <c r="B11" s="88">
        <v>24000</v>
      </c>
      <c r="C11" s="88">
        <v>18000</v>
      </c>
      <c r="D11" s="33">
        <f>C11-B11</f>
        <v>-6000</v>
      </c>
      <c r="E11" s="51">
        <f>(D11/B11)</f>
        <v>-0.25</v>
      </c>
    </row>
    <row r="12" spans="1:5" ht="13.5" customHeight="1" x14ac:dyDescent="0.2">
      <c r="A12" s="58" t="s">
        <v>327</v>
      </c>
      <c r="B12" s="302">
        <v>17325</v>
      </c>
      <c r="C12" s="302">
        <v>18500</v>
      </c>
      <c r="D12" s="99">
        <f>C12-B12</f>
        <v>1175</v>
      </c>
      <c r="E12" s="102">
        <f>(D12/B12)</f>
        <v>6.7821067821067824E-2</v>
      </c>
    </row>
    <row r="13" spans="1:5" x14ac:dyDescent="0.2">
      <c r="A13" s="167"/>
      <c r="B13" s="33">
        <f>SUM(B10:B12)</f>
        <v>41325</v>
      </c>
      <c r="C13" s="33">
        <f>SUM(C10:C12)</f>
        <v>36500</v>
      </c>
      <c r="D13" s="33">
        <f>SUM(D10:D12)</f>
        <v>-4825</v>
      </c>
      <c r="E13" s="51">
        <f>(D13/B13)</f>
        <v>-0.11675741076830005</v>
      </c>
    </row>
    <row r="14" spans="1:5" x14ac:dyDescent="0.2">
      <c r="A14" s="144" t="s">
        <v>11</v>
      </c>
      <c r="B14" s="13"/>
      <c r="C14" s="13"/>
      <c r="D14" s="158"/>
      <c r="E14" s="6"/>
    </row>
    <row r="15" spans="1:5" x14ac:dyDescent="0.2">
      <c r="A15" s="58" t="s">
        <v>470</v>
      </c>
      <c r="B15" s="88">
        <f>9*100*2</f>
        <v>1800</v>
      </c>
      <c r="C15" s="88">
        <f>9*100*2</f>
        <v>1800</v>
      </c>
      <c r="D15" s="33">
        <f>C15-B15</f>
        <v>0</v>
      </c>
      <c r="E15" s="51">
        <f>(D15/B15)</f>
        <v>0</v>
      </c>
    </row>
    <row r="16" spans="1:5" x14ac:dyDescent="0.2">
      <c r="A16" s="58" t="s">
        <v>387</v>
      </c>
      <c r="B16" s="87">
        <f>135*2</f>
        <v>270</v>
      </c>
      <c r="C16" s="87">
        <f>135*2</f>
        <v>270</v>
      </c>
      <c r="D16" s="287">
        <f>C16-B16</f>
        <v>0</v>
      </c>
      <c r="E16" s="101">
        <f>(D16/B16)</f>
        <v>0</v>
      </c>
    </row>
    <row r="17" spans="1:5" ht="14.25" customHeight="1" x14ac:dyDescent="0.2">
      <c r="A17" s="167"/>
      <c r="B17" s="13">
        <f>SUM(B15:B16)</f>
        <v>2070</v>
      </c>
      <c r="C17" s="13">
        <f>SUM(C15:C16)</f>
        <v>2070</v>
      </c>
      <c r="D17" s="33">
        <f>SUM(D15:D16)</f>
        <v>0</v>
      </c>
      <c r="E17" s="51">
        <f>(D17/B17)</f>
        <v>0</v>
      </c>
    </row>
    <row r="18" spans="1:5" ht="14.25" customHeight="1" x14ac:dyDescent="0.2">
      <c r="A18" s="144" t="s">
        <v>30</v>
      </c>
      <c r="B18" s="13"/>
      <c r="C18" s="13"/>
      <c r="D18" s="33"/>
      <c r="E18" s="51"/>
    </row>
    <row r="19" spans="1:5" ht="14.25" customHeight="1" x14ac:dyDescent="0.2">
      <c r="A19" s="58" t="s">
        <v>402</v>
      </c>
      <c r="B19" s="13">
        <v>1000</v>
      </c>
      <c r="C19" s="13">
        <v>1000</v>
      </c>
      <c r="D19" s="33">
        <f>C19-B19</f>
        <v>0</v>
      </c>
      <c r="E19" s="51">
        <f>(D19/B19)</f>
        <v>0</v>
      </c>
    </row>
    <row r="20" spans="1:5" ht="14.25" customHeight="1" x14ac:dyDescent="0.2">
      <c r="A20" s="58"/>
      <c r="B20" s="13"/>
      <c r="C20" s="13"/>
      <c r="D20" s="33"/>
      <c r="E20" s="51"/>
    </row>
    <row r="21" spans="1:5" x14ac:dyDescent="0.2">
      <c r="A21" s="144" t="s">
        <v>13</v>
      </c>
      <c r="B21" s="13"/>
      <c r="C21" s="13"/>
      <c r="D21" s="33"/>
      <c r="E21" s="6"/>
    </row>
    <row r="22" spans="1:5" x14ac:dyDescent="0.2">
      <c r="A22" s="58" t="s">
        <v>326</v>
      </c>
      <c r="B22" s="13">
        <v>3000</v>
      </c>
      <c r="C22" s="13">
        <v>3750</v>
      </c>
      <c r="D22" s="33">
        <f>C22-B22</f>
        <v>750</v>
      </c>
      <c r="E22" s="6">
        <f>(D22/B22)</f>
        <v>0.25</v>
      </c>
    </row>
    <row r="23" spans="1:5" x14ac:dyDescent="0.2">
      <c r="A23" s="167"/>
      <c r="B23" s="33"/>
      <c r="C23" s="33"/>
      <c r="D23" s="33"/>
      <c r="E23" s="51"/>
    </row>
    <row r="24" spans="1:5" x14ac:dyDescent="0.2">
      <c r="A24" s="144" t="s">
        <v>415</v>
      </c>
      <c r="B24" s="13"/>
      <c r="C24" s="13"/>
      <c r="D24" s="33"/>
      <c r="E24" s="51"/>
    </row>
    <row r="25" spans="1:5" x14ac:dyDescent="0.2">
      <c r="A25" s="58" t="s">
        <v>426</v>
      </c>
      <c r="B25" s="13">
        <v>6000</v>
      </c>
      <c r="C25" s="13">
        <v>6000</v>
      </c>
      <c r="D25" s="33">
        <f>C25-B25</f>
        <v>0</v>
      </c>
      <c r="E25" s="51">
        <f>(D25/B25)</f>
        <v>0</v>
      </c>
    </row>
    <row r="26" spans="1:5" x14ac:dyDescent="0.2">
      <c r="A26" s="58" t="s">
        <v>499</v>
      </c>
      <c r="B26" s="92">
        <v>0</v>
      </c>
      <c r="C26" s="92">
        <v>2500</v>
      </c>
      <c r="D26" s="99">
        <f>C26-B26</f>
        <v>2500</v>
      </c>
      <c r="E26" s="102" t="e">
        <f>(D26/B26)</f>
        <v>#DIV/0!</v>
      </c>
    </row>
    <row r="27" spans="1:5" x14ac:dyDescent="0.2">
      <c r="A27" s="58"/>
      <c r="B27" s="13">
        <f>SUM(B25:B26)</f>
        <v>6000</v>
      </c>
      <c r="C27" s="13">
        <f>SUM(C25:C26)</f>
        <v>8500</v>
      </c>
      <c r="D27" s="33">
        <f>C27-B27</f>
        <v>2500</v>
      </c>
      <c r="E27" s="51">
        <f>(D27/B27)</f>
        <v>0.41666666666666669</v>
      </c>
    </row>
    <row r="28" spans="1:5" x14ac:dyDescent="0.2">
      <c r="A28" s="167"/>
      <c r="B28" s="33"/>
      <c r="C28" s="33"/>
      <c r="D28" s="33"/>
      <c r="E28" s="51"/>
    </row>
    <row r="29" spans="1:5" x14ac:dyDescent="0.2">
      <c r="A29" s="144" t="s">
        <v>36</v>
      </c>
      <c r="B29" s="13"/>
      <c r="C29" s="13"/>
      <c r="D29" s="33"/>
      <c r="E29" s="6"/>
    </row>
    <row r="30" spans="1:5" x14ac:dyDescent="0.2">
      <c r="A30" s="58" t="s">
        <v>298</v>
      </c>
      <c r="B30" s="125">
        <v>75000</v>
      </c>
      <c r="C30" s="125">
        <v>78000</v>
      </c>
      <c r="D30" s="124">
        <f>C30-B30</f>
        <v>3000</v>
      </c>
      <c r="E30" s="139">
        <f>(D30/B30)</f>
        <v>0.04</v>
      </c>
    </row>
    <row r="31" spans="1:5" x14ac:dyDescent="0.2">
      <c r="A31" s="167"/>
      <c r="B31" s="33">
        <f>SUM(B30:B30)</f>
        <v>75000</v>
      </c>
      <c r="C31" s="33">
        <f>SUM(C30:C30)</f>
        <v>78000</v>
      </c>
      <c r="D31" s="33">
        <f>SUM(D30:D30)</f>
        <v>3000</v>
      </c>
      <c r="E31" s="51">
        <f>(D31/B31)</f>
        <v>0.04</v>
      </c>
    </row>
    <row r="32" spans="1:5" x14ac:dyDescent="0.2">
      <c r="A32" s="144" t="s">
        <v>14</v>
      </c>
      <c r="B32" s="13"/>
      <c r="C32" s="13"/>
      <c r="D32" s="33"/>
      <c r="E32" s="6"/>
    </row>
    <row r="33" spans="1:5" x14ac:dyDescent="0.2">
      <c r="A33" s="58" t="s">
        <v>297</v>
      </c>
      <c r="B33" s="88">
        <v>1000</v>
      </c>
      <c r="C33" s="88">
        <v>2500</v>
      </c>
      <c r="D33" s="33">
        <f>C33-B33</f>
        <v>1500</v>
      </c>
      <c r="E33" s="51">
        <f>(D33/B33)</f>
        <v>1.5</v>
      </c>
    </row>
    <row r="34" spans="1:5" x14ac:dyDescent="0.2">
      <c r="A34" s="6" t="s">
        <v>214</v>
      </c>
      <c r="B34" s="125">
        <v>2000</v>
      </c>
      <c r="C34" s="125">
        <v>250</v>
      </c>
      <c r="D34" s="124">
        <f>C34-B34</f>
        <v>-1750</v>
      </c>
      <c r="E34" s="139">
        <f>(D34/B34)</f>
        <v>-0.875</v>
      </c>
    </row>
    <row r="35" spans="1:5" x14ac:dyDescent="0.2">
      <c r="A35" s="167"/>
      <c r="B35" s="33">
        <f>SUM(B33:B34)</f>
        <v>3000</v>
      </c>
      <c r="C35" s="33">
        <f>SUM(C33:C34)</f>
        <v>2750</v>
      </c>
      <c r="D35" s="33">
        <f>SUM(D33:D34)</f>
        <v>-250</v>
      </c>
      <c r="E35" s="51">
        <f>(D35/B35)</f>
        <v>-8.3333333333333329E-2</v>
      </c>
    </row>
    <row r="36" spans="1:5" x14ac:dyDescent="0.2">
      <c r="A36" s="144" t="s">
        <v>16</v>
      </c>
      <c r="B36" s="88"/>
      <c r="C36" s="88"/>
      <c r="D36" s="33"/>
      <c r="E36" s="6"/>
    </row>
    <row r="37" spans="1:5" x14ac:dyDescent="0.2">
      <c r="A37" s="58" t="s">
        <v>297</v>
      </c>
      <c r="B37" s="125">
        <v>1500</v>
      </c>
      <c r="C37" s="125">
        <v>1500</v>
      </c>
      <c r="D37" s="124">
        <f>C37-B37</f>
        <v>0</v>
      </c>
      <c r="E37" s="139">
        <f>(D37/B37)</f>
        <v>0</v>
      </c>
    </row>
    <row r="38" spans="1:5" x14ac:dyDescent="0.2">
      <c r="A38" s="167"/>
      <c r="B38" s="33">
        <f>SUM(B37:B37)</f>
        <v>1500</v>
      </c>
      <c r="C38" s="33">
        <f>SUM(C37:C37)</f>
        <v>1500</v>
      </c>
      <c r="D38" s="33">
        <f>SUM(D37)</f>
        <v>0</v>
      </c>
      <c r="E38" s="51">
        <f>(D38/B38)</f>
        <v>0</v>
      </c>
    </row>
    <row r="39" spans="1:5" x14ac:dyDescent="0.2">
      <c r="A39" s="144" t="s">
        <v>15</v>
      </c>
      <c r="B39" s="13"/>
      <c r="C39" s="13"/>
      <c r="D39" s="33"/>
      <c r="E39" s="6"/>
    </row>
    <row r="40" spans="1:5" x14ac:dyDescent="0.2">
      <c r="A40" s="58" t="s">
        <v>299</v>
      </c>
      <c r="B40" s="108">
        <v>7500</v>
      </c>
      <c r="C40" s="108">
        <v>7500</v>
      </c>
      <c r="D40" s="33">
        <f>C40-B40</f>
        <v>0</v>
      </c>
      <c r="E40" s="51">
        <f>(D40/B40)</f>
        <v>0</v>
      </c>
    </row>
    <row r="41" spans="1:5" x14ac:dyDescent="0.2">
      <c r="A41" s="167" t="s">
        <v>70</v>
      </c>
      <c r="B41" s="125">
        <v>1000</v>
      </c>
      <c r="C41" s="125">
        <v>0</v>
      </c>
      <c r="D41" s="124">
        <f>C41-B41</f>
        <v>-1000</v>
      </c>
      <c r="E41" s="139">
        <f>(D41/B41)</f>
        <v>-1</v>
      </c>
    </row>
    <row r="42" spans="1:5" x14ac:dyDescent="0.2">
      <c r="A42" s="6"/>
      <c r="B42" s="33">
        <f>SUM(B40:B41)</f>
        <v>8500</v>
      </c>
      <c r="C42" s="33">
        <f>SUM(C40:C41)</f>
        <v>7500</v>
      </c>
      <c r="D42" s="33">
        <f>SUM(D40:D41)</f>
        <v>-1000</v>
      </c>
      <c r="E42" s="51">
        <f>(D42/B42)</f>
        <v>-0.11764705882352941</v>
      </c>
    </row>
    <row r="43" spans="1:5" x14ac:dyDescent="0.2">
      <c r="A43" s="6"/>
      <c r="B43" s="33"/>
      <c r="C43" s="33"/>
      <c r="D43" s="33"/>
      <c r="E43" s="51"/>
    </row>
    <row r="44" spans="1:5" x14ac:dyDescent="0.2">
      <c r="A44" s="144" t="s">
        <v>427</v>
      </c>
      <c r="B44" s="13"/>
      <c r="C44" s="13"/>
      <c r="D44" s="33"/>
      <c r="E44" s="6"/>
    </row>
    <row r="45" spans="1:5" x14ac:dyDescent="0.2">
      <c r="A45" s="58" t="s">
        <v>428</v>
      </c>
      <c r="B45" s="108">
        <v>1000</v>
      </c>
      <c r="C45" s="108">
        <v>9000</v>
      </c>
      <c r="D45" s="33">
        <f>C45-B45</f>
        <v>8000</v>
      </c>
      <c r="E45" s="51">
        <f>(D45/B45)</f>
        <v>8</v>
      </c>
    </row>
    <row r="46" spans="1:5" x14ac:dyDescent="0.2">
      <c r="A46" s="6"/>
      <c r="B46" s="33"/>
      <c r="C46" s="33"/>
      <c r="D46" s="33"/>
      <c r="E46" s="51"/>
    </row>
    <row r="47" spans="1:5" ht="15" x14ac:dyDescent="0.35">
      <c r="A47" s="6"/>
      <c r="B47" s="26"/>
      <c r="C47" s="26"/>
      <c r="D47" s="33"/>
      <c r="E47" s="6"/>
    </row>
    <row r="48" spans="1:5" ht="15.75" thickBot="1" x14ac:dyDescent="0.3">
      <c r="A48" s="166" t="s">
        <v>22</v>
      </c>
      <c r="B48" s="156">
        <f>SUM(B42+B38+B35+B31+B22+B17+B13+B19+B45+B25)</f>
        <v>142395</v>
      </c>
      <c r="C48" s="156">
        <f>SUM(C42+C38+C35+C31+C22+C17+C13+C19+C45+C27)</f>
        <v>150570</v>
      </c>
      <c r="D48" s="156">
        <f>SUM(D42+D38+D35+D31+D23+D17+D13+D25+D45)</f>
        <v>4925</v>
      </c>
      <c r="E48" s="143">
        <f>(D48/B48)</f>
        <v>3.4586888584571089E-2</v>
      </c>
    </row>
    <row r="49" spans="1:5" ht="13.5" thickTop="1" x14ac:dyDescent="0.2">
      <c r="A49" s="146"/>
      <c r="B49" s="161"/>
      <c r="C49" s="161"/>
      <c r="D49" s="161"/>
      <c r="E49" s="149"/>
    </row>
    <row r="50" spans="1:5" x14ac:dyDescent="0.2">
      <c r="A50" s="35"/>
    </row>
  </sheetData>
  <phoneticPr fontId="0" type="noConversion"/>
  <pageMargins left="1" right="0.5" top="1" bottom="0.5" header="0.5" footer="0.5"/>
  <pageSetup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5"/>
  <dimension ref="A1:J54"/>
  <sheetViews>
    <sheetView showGridLines="0" zoomScaleNormal="100" workbookViewId="0">
      <selection activeCell="G1" sqref="G1:G1048576"/>
    </sheetView>
  </sheetViews>
  <sheetFormatPr defaultColWidth="8.7109375" defaultRowHeight="12.75" x14ac:dyDescent="0.2"/>
  <cols>
    <col min="1" max="1" width="45.28515625" bestFit="1" customWidth="1"/>
    <col min="2" max="2" width="11" customWidth="1"/>
    <col min="3" max="3" width="10.7109375" bestFit="1" customWidth="1"/>
    <col min="4" max="5" width="9.7109375" bestFit="1" customWidth="1"/>
  </cols>
  <sheetData>
    <row r="1" spans="1:10" ht="15.75" customHeight="1" x14ac:dyDescent="0.25">
      <c r="A1" s="3" t="str">
        <f>'Ann Sess'!A1</f>
        <v>2026 Budget</v>
      </c>
      <c r="B1" s="3" t="s">
        <v>206</v>
      </c>
      <c r="C1" s="3"/>
      <c r="D1" s="34"/>
      <c r="E1" s="39"/>
      <c r="F1" s="34"/>
      <c r="G1" s="34"/>
      <c r="H1" s="34"/>
      <c r="I1" s="34"/>
      <c r="J1" s="34"/>
    </row>
    <row r="2" spans="1:10" ht="15.75" x14ac:dyDescent="0.25">
      <c r="A2" s="359" t="str">
        <f>'Ann Sess'!A2</f>
        <v>1st Draft</v>
      </c>
      <c r="B2" s="3"/>
      <c r="C2" s="3"/>
      <c r="D2" s="34"/>
      <c r="E2" s="39"/>
      <c r="F2" s="34"/>
      <c r="G2" s="34"/>
      <c r="H2" s="34"/>
      <c r="I2" s="34"/>
      <c r="J2" s="34"/>
    </row>
    <row r="3" spans="1:10" ht="15.75" x14ac:dyDescent="0.25">
      <c r="A3" s="100"/>
      <c r="B3" s="3" t="s">
        <v>42</v>
      </c>
      <c r="C3" s="3"/>
      <c r="D3" s="34"/>
      <c r="E3" s="34"/>
      <c r="F3" s="34"/>
      <c r="G3" s="34"/>
      <c r="H3" s="34"/>
      <c r="I3" s="34"/>
      <c r="J3" s="34"/>
    </row>
    <row r="4" spans="1:10" ht="15.75" x14ac:dyDescent="0.25">
      <c r="A4" s="100"/>
      <c r="B4" s="3"/>
      <c r="C4" s="3"/>
      <c r="D4" s="34"/>
      <c r="E4" s="34"/>
      <c r="F4" s="34"/>
      <c r="G4" s="34"/>
      <c r="H4" s="34"/>
      <c r="I4" s="34"/>
      <c r="J4" s="34"/>
    </row>
    <row r="5" spans="1:10" ht="15" x14ac:dyDescent="0.25">
      <c r="A5" s="166" t="s">
        <v>26</v>
      </c>
      <c r="B5" s="63">
        <f>'Ann Sess'!B5</f>
        <v>2025</v>
      </c>
      <c r="C5" s="63">
        <f>'Ann Sess'!C5</f>
        <v>2026</v>
      </c>
      <c r="D5" s="4" t="s">
        <v>44</v>
      </c>
      <c r="E5" s="57" t="s">
        <v>44</v>
      </c>
    </row>
    <row r="6" spans="1:10" ht="15" x14ac:dyDescent="0.25">
      <c r="A6" s="46" t="s">
        <v>41</v>
      </c>
      <c r="B6" s="46" t="s">
        <v>43</v>
      </c>
      <c r="C6" s="46" t="s">
        <v>120</v>
      </c>
      <c r="D6" s="46" t="s">
        <v>45</v>
      </c>
      <c r="E6" s="46" t="s">
        <v>46</v>
      </c>
    </row>
    <row r="7" spans="1:10" ht="15" x14ac:dyDescent="0.2">
      <c r="A7" s="62"/>
      <c r="B7" s="62"/>
      <c r="C7" s="62"/>
      <c r="D7" s="62"/>
      <c r="E7" s="62"/>
      <c r="F7" s="34"/>
      <c r="G7" s="34"/>
      <c r="H7" s="34"/>
      <c r="I7" s="34"/>
    </row>
    <row r="8" spans="1:10" ht="15" x14ac:dyDescent="0.2">
      <c r="A8" s="144" t="s">
        <v>241</v>
      </c>
      <c r="B8" s="62"/>
      <c r="C8" s="62"/>
      <c r="D8" s="62"/>
      <c r="E8" s="62"/>
      <c r="F8" s="34"/>
      <c r="G8" s="34"/>
      <c r="H8" s="34"/>
      <c r="I8" s="34"/>
    </row>
    <row r="9" spans="1:10" x14ac:dyDescent="0.2">
      <c r="A9" s="167" t="s">
        <v>81</v>
      </c>
      <c r="B9" s="108">
        <v>21600</v>
      </c>
      <c r="C9" s="108">
        <f>21600+23500</f>
        <v>45100</v>
      </c>
      <c r="D9" s="11">
        <f t="shared" ref="D9:D15" si="0">C9-B9</f>
        <v>23500</v>
      </c>
      <c r="E9" s="59">
        <f t="shared" ref="E9:E15" si="1">(D9/B9)</f>
        <v>1.087962962962963</v>
      </c>
      <c r="F9" s="35"/>
      <c r="G9" s="35"/>
      <c r="H9" s="35"/>
      <c r="I9" s="35"/>
    </row>
    <row r="10" spans="1:10" x14ac:dyDescent="0.2">
      <c r="A10" s="167" t="s">
        <v>82</v>
      </c>
      <c r="B10" s="108">
        <v>2750</v>
      </c>
      <c r="C10" s="108">
        <v>2850</v>
      </c>
      <c r="D10" s="11">
        <f t="shared" si="0"/>
        <v>100</v>
      </c>
      <c r="E10" s="59">
        <f t="shared" si="1"/>
        <v>3.6363636363636362E-2</v>
      </c>
      <c r="F10" s="35"/>
      <c r="G10" s="35"/>
      <c r="H10" s="35"/>
      <c r="I10" s="35"/>
    </row>
    <row r="11" spans="1:10" x14ac:dyDescent="0.2">
      <c r="A11" s="58" t="s">
        <v>446</v>
      </c>
      <c r="B11" s="108">
        <v>3780</v>
      </c>
      <c r="C11" s="108">
        <f>21*180</f>
        <v>3780</v>
      </c>
      <c r="D11" s="11">
        <f t="shared" si="0"/>
        <v>0</v>
      </c>
      <c r="E11" s="59">
        <f t="shared" si="1"/>
        <v>0</v>
      </c>
      <c r="F11" s="35"/>
      <c r="G11" s="35"/>
      <c r="H11" s="35"/>
      <c r="I11" s="35"/>
    </row>
    <row r="12" spans="1:10" x14ac:dyDescent="0.2">
      <c r="A12" s="58" t="s">
        <v>502</v>
      </c>
      <c r="B12" s="108">
        <v>300</v>
      </c>
      <c r="C12" s="108">
        <f>2*145</f>
        <v>290</v>
      </c>
      <c r="D12" s="11">
        <f t="shared" si="0"/>
        <v>-10</v>
      </c>
      <c r="E12" s="59">
        <f t="shared" si="1"/>
        <v>-3.3333333333333333E-2</v>
      </c>
      <c r="F12" s="35"/>
      <c r="G12" s="35"/>
      <c r="H12" s="35"/>
      <c r="I12" s="35"/>
    </row>
    <row r="13" spans="1:10" x14ac:dyDescent="0.2">
      <c r="A13" s="58" t="s">
        <v>503</v>
      </c>
      <c r="B13" s="108">
        <v>6020</v>
      </c>
      <c r="C13" s="108">
        <f>43*145</f>
        <v>6235</v>
      </c>
      <c r="D13" s="11">
        <f t="shared" si="0"/>
        <v>215</v>
      </c>
      <c r="E13" s="59">
        <f t="shared" si="1"/>
        <v>3.5714285714285712E-2</v>
      </c>
      <c r="F13" s="35"/>
      <c r="G13" s="35"/>
      <c r="H13" s="35"/>
      <c r="I13" s="35"/>
    </row>
    <row r="14" spans="1:10" x14ac:dyDescent="0.2">
      <c r="A14" s="167" t="s">
        <v>71</v>
      </c>
      <c r="B14" s="326">
        <v>2500</v>
      </c>
      <c r="C14" s="326">
        <v>2500</v>
      </c>
      <c r="D14" s="155">
        <f t="shared" si="0"/>
        <v>0</v>
      </c>
      <c r="E14" s="139">
        <f t="shared" si="1"/>
        <v>0</v>
      </c>
      <c r="F14" s="35"/>
      <c r="G14" s="35"/>
      <c r="H14" s="35"/>
      <c r="I14" s="35"/>
    </row>
    <row r="15" spans="1:10" x14ac:dyDescent="0.2">
      <c r="A15" s="167"/>
      <c r="B15" s="108">
        <f>SUM(B9:B14)</f>
        <v>36950</v>
      </c>
      <c r="C15" s="108">
        <f>SUM(C9:C14)</f>
        <v>60755</v>
      </c>
      <c r="D15" s="11">
        <f t="shared" si="0"/>
        <v>23805</v>
      </c>
      <c r="E15" s="59">
        <f t="shared" si="1"/>
        <v>0.64424898511502027</v>
      </c>
      <c r="F15" s="35"/>
      <c r="G15" s="35"/>
      <c r="H15" s="35"/>
      <c r="I15" s="35"/>
    </row>
    <row r="16" spans="1:10" x14ac:dyDescent="0.2">
      <c r="A16" s="144" t="s">
        <v>11</v>
      </c>
      <c r="B16" s="108"/>
      <c r="C16" s="108"/>
      <c r="D16" s="33"/>
      <c r="E16" s="58"/>
      <c r="F16" s="35"/>
      <c r="G16" s="35"/>
      <c r="H16" s="35"/>
      <c r="I16" s="35"/>
    </row>
    <row r="17" spans="1:9" x14ac:dyDescent="0.2">
      <c r="A17" s="58" t="s">
        <v>445</v>
      </c>
      <c r="B17" s="108">
        <v>2835</v>
      </c>
      <c r="C17" s="108">
        <f>21*135</f>
        <v>2835</v>
      </c>
      <c r="D17" s="11">
        <f>C17-B17</f>
        <v>0</v>
      </c>
      <c r="E17" s="59">
        <f>(D17/B17)</f>
        <v>0</v>
      </c>
      <c r="F17" s="35"/>
      <c r="G17" s="35"/>
      <c r="H17" s="35"/>
      <c r="I17" s="35"/>
    </row>
    <row r="18" spans="1:9" x14ac:dyDescent="0.2">
      <c r="A18" s="167"/>
      <c r="B18" s="108"/>
      <c r="C18" s="108"/>
      <c r="D18" s="11"/>
      <c r="E18" s="59"/>
      <c r="F18" s="35"/>
      <c r="G18" s="35"/>
      <c r="H18" s="35"/>
      <c r="I18" s="35"/>
    </row>
    <row r="19" spans="1:9" x14ac:dyDescent="0.2">
      <c r="A19" s="144" t="s">
        <v>13</v>
      </c>
      <c r="B19" s="108"/>
      <c r="C19" s="108"/>
      <c r="D19" s="11"/>
      <c r="E19" s="59"/>
      <c r="F19" s="35"/>
      <c r="G19" s="35"/>
      <c r="H19" s="35"/>
      <c r="I19" s="35"/>
    </row>
    <row r="20" spans="1:9" x14ac:dyDescent="0.2">
      <c r="A20" s="6" t="s">
        <v>232</v>
      </c>
      <c r="B20" s="108">
        <v>100</v>
      </c>
      <c r="C20" s="108">
        <v>100</v>
      </c>
      <c r="D20" s="11">
        <f>C20-B20</f>
        <v>0</v>
      </c>
      <c r="E20" s="59">
        <f>(D20/B20)</f>
        <v>0</v>
      </c>
      <c r="F20" s="35"/>
      <c r="G20" s="35"/>
      <c r="H20" s="35"/>
      <c r="I20" s="35"/>
    </row>
    <row r="21" spans="1:9" x14ac:dyDescent="0.2">
      <c r="A21" s="167"/>
      <c r="B21" s="108"/>
      <c r="C21" s="108"/>
      <c r="D21" s="11"/>
      <c r="E21" s="59"/>
      <c r="F21" s="35"/>
      <c r="G21" s="35"/>
      <c r="H21" s="35"/>
      <c r="I21" s="35"/>
    </row>
    <row r="22" spans="1:9" x14ac:dyDescent="0.2">
      <c r="A22" s="167"/>
      <c r="B22" s="33"/>
      <c r="C22" s="33"/>
      <c r="D22" s="33"/>
      <c r="E22" s="58"/>
      <c r="F22" s="35"/>
      <c r="G22" s="35"/>
      <c r="H22" s="35"/>
      <c r="I22" s="35"/>
    </row>
    <row r="23" spans="1:9" x14ac:dyDescent="0.2">
      <c r="A23" s="144" t="s">
        <v>28</v>
      </c>
      <c r="B23" s="33"/>
      <c r="C23" s="33"/>
      <c r="D23" s="33"/>
      <c r="E23" s="58"/>
      <c r="F23" s="35"/>
      <c r="G23" s="35"/>
      <c r="H23" s="35"/>
      <c r="I23" s="35"/>
    </row>
    <row r="24" spans="1:9" x14ac:dyDescent="0.2">
      <c r="A24" s="167" t="s">
        <v>83</v>
      </c>
      <c r="B24" s="108">
        <v>1000</v>
      </c>
      <c r="C24" s="108">
        <v>1000</v>
      </c>
      <c r="D24" s="11">
        <f>C24-B24</f>
        <v>0</v>
      </c>
      <c r="E24" s="59">
        <f>(D24/B24)</f>
        <v>0</v>
      </c>
      <c r="F24" s="35"/>
      <c r="G24" s="35"/>
      <c r="H24" s="35"/>
      <c r="I24" s="35"/>
    </row>
    <row r="25" spans="1:9" x14ac:dyDescent="0.2">
      <c r="A25" s="167"/>
      <c r="B25" s="33"/>
      <c r="C25" s="33"/>
      <c r="D25" s="33"/>
      <c r="E25" s="58"/>
      <c r="F25" s="35"/>
      <c r="G25" s="35"/>
      <c r="H25" s="35"/>
      <c r="I25" s="35"/>
    </row>
    <row r="26" spans="1:9" x14ac:dyDescent="0.2">
      <c r="A26" s="144" t="s">
        <v>14</v>
      </c>
      <c r="B26" s="33"/>
      <c r="C26" s="33"/>
      <c r="D26" s="33"/>
      <c r="E26" s="58"/>
      <c r="F26" s="35"/>
      <c r="G26" s="35"/>
      <c r="H26" s="35"/>
      <c r="I26" s="35"/>
    </row>
    <row r="27" spans="1:9" x14ac:dyDescent="0.2">
      <c r="A27" s="6" t="s">
        <v>233</v>
      </c>
      <c r="B27" s="33">
        <v>200</v>
      </c>
      <c r="C27" s="33">
        <v>200</v>
      </c>
      <c r="D27" s="11">
        <f>C27-B27</f>
        <v>0</v>
      </c>
      <c r="E27" s="59">
        <f>(D27/B27)</f>
        <v>0</v>
      </c>
      <c r="F27" s="35"/>
      <c r="G27" s="35"/>
      <c r="H27" s="35"/>
      <c r="I27" s="35"/>
    </row>
    <row r="28" spans="1:9" x14ac:dyDescent="0.2">
      <c r="A28" s="6" t="s">
        <v>234</v>
      </c>
      <c r="B28" s="99">
        <v>0</v>
      </c>
      <c r="C28" s="99">
        <v>0</v>
      </c>
      <c r="D28" s="155">
        <f>C28-B28</f>
        <v>0</v>
      </c>
      <c r="E28" s="139" t="e">
        <f>(D28/B28)</f>
        <v>#DIV/0!</v>
      </c>
      <c r="F28" s="35"/>
      <c r="G28" s="35"/>
      <c r="H28" s="35"/>
      <c r="I28" s="35"/>
    </row>
    <row r="29" spans="1:9" x14ac:dyDescent="0.2">
      <c r="A29" s="167"/>
      <c r="B29" s="108">
        <f>SUM(B27:B28)</f>
        <v>200</v>
      </c>
      <c r="C29" s="108">
        <f>SUM(C27:C28)</f>
        <v>200</v>
      </c>
      <c r="D29" s="11">
        <f>C29-B29</f>
        <v>0</v>
      </c>
      <c r="E29" s="59">
        <f>(D29/B29)</f>
        <v>0</v>
      </c>
      <c r="F29" s="35"/>
      <c r="G29" s="35"/>
      <c r="H29" s="35"/>
      <c r="I29" s="35"/>
    </row>
    <row r="30" spans="1:9" x14ac:dyDescent="0.2">
      <c r="A30" s="144" t="s">
        <v>16</v>
      </c>
      <c r="B30" s="33"/>
      <c r="C30" s="33"/>
      <c r="D30" s="11"/>
      <c r="E30" s="59"/>
      <c r="F30" s="35"/>
      <c r="G30" s="35"/>
      <c r="H30" s="35"/>
      <c r="I30" s="35"/>
    </row>
    <row r="31" spans="1:9" x14ac:dyDescent="0.2">
      <c r="A31" s="6" t="s">
        <v>482</v>
      </c>
      <c r="B31" s="33">
        <v>200</v>
      </c>
      <c r="C31" s="33">
        <v>200</v>
      </c>
      <c r="D31" s="11">
        <f>C31-B31</f>
        <v>0</v>
      </c>
      <c r="E31" s="59">
        <f>(D31/B31)</f>
        <v>0</v>
      </c>
      <c r="F31" s="35"/>
      <c r="G31" s="35"/>
      <c r="H31" s="35"/>
      <c r="I31" s="35"/>
    </row>
    <row r="32" spans="1:9" x14ac:dyDescent="0.2">
      <c r="A32" s="167"/>
      <c r="B32" s="33"/>
      <c r="C32" s="33"/>
      <c r="D32" s="33"/>
      <c r="E32" s="58"/>
      <c r="F32" s="35"/>
      <c r="G32" s="35"/>
      <c r="H32" s="35"/>
      <c r="I32" s="35"/>
    </row>
    <row r="33" spans="1:10" x14ac:dyDescent="0.2">
      <c r="A33" s="144" t="s">
        <v>15</v>
      </c>
      <c r="B33" s="33"/>
      <c r="C33" s="33"/>
      <c r="D33" s="33"/>
      <c r="E33" s="58"/>
      <c r="F33" s="35"/>
      <c r="G33" s="35"/>
      <c r="H33" s="35"/>
      <c r="I33" s="35"/>
    </row>
    <row r="34" spans="1:10" x14ac:dyDescent="0.2">
      <c r="A34" s="58" t="s">
        <v>316</v>
      </c>
      <c r="B34" s="33">
        <v>1500</v>
      </c>
      <c r="C34" s="33">
        <v>2500</v>
      </c>
      <c r="D34" s="29">
        <f>C34-B34</f>
        <v>1000</v>
      </c>
      <c r="E34" s="59">
        <f>(D34/B34)</f>
        <v>0.66666666666666663</v>
      </c>
      <c r="F34" s="35"/>
      <c r="G34" s="35"/>
      <c r="H34" s="35"/>
      <c r="I34" s="35"/>
    </row>
    <row r="35" spans="1:10" x14ac:dyDescent="0.2">
      <c r="A35" s="167"/>
      <c r="B35" s="33"/>
      <c r="C35" s="33"/>
      <c r="D35" s="11"/>
      <c r="E35" s="59"/>
      <c r="F35" s="35"/>
      <c r="G35" s="35"/>
      <c r="H35" s="35"/>
      <c r="I35" s="35"/>
    </row>
    <row r="36" spans="1:10" s="37" customFormat="1" ht="15.75" thickBot="1" x14ac:dyDescent="0.3">
      <c r="A36" s="166" t="s">
        <v>29</v>
      </c>
      <c r="B36" s="156">
        <f>+B15+B17+B24+B29+B31+B34+B20</f>
        <v>42785</v>
      </c>
      <c r="C36" s="156">
        <f>+C15+C17+C24+C29+C31+C34+C20</f>
        <v>67590</v>
      </c>
      <c r="D36" s="142">
        <f>C36-B36</f>
        <v>24805</v>
      </c>
      <c r="E36" s="143">
        <f>(D36/B36)</f>
        <v>0.57975926142339607</v>
      </c>
    </row>
    <row r="37" spans="1:10" ht="13.5" thickTop="1" x14ac:dyDescent="0.2">
      <c r="A37" s="169"/>
      <c r="B37" s="47"/>
      <c r="C37" s="47"/>
      <c r="D37" s="170"/>
      <c r="E37" s="171"/>
      <c r="F37" s="35"/>
      <c r="G37" s="35"/>
      <c r="H37" s="35"/>
    </row>
    <row r="38" spans="1:10" x14ac:dyDescent="0.2">
      <c r="A38" s="35"/>
      <c r="B38" s="35"/>
      <c r="C38" s="35"/>
      <c r="D38" s="35"/>
      <c r="E38" s="35"/>
      <c r="F38" s="35"/>
      <c r="G38" s="35"/>
      <c r="H38" s="35"/>
      <c r="I38" s="35"/>
      <c r="J38" s="35"/>
    </row>
    <row r="39" spans="1:10" x14ac:dyDescent="0.2">
      <c r="A39" s="35"/>
      <c r="B39" s="35"/>
      <c r="C39" s="35"/>
      <c r="D39" s="35"/>
      <c r="E39" s="35"/>
      <c r="F39" s="35"/>
      <c r="G39" s="35"/>
      <c r="H39" s="35"/>
      <c r="I39" s="35"/>
      <c r="J39" s="35"/>
    </row>
    <row r="40" spans="1:10" x14ac:dyDescent="0.2">
      <c r="A40" s="35"/>
      <c r="B40" s="35"/>
      <c r="C40" s="35"/>
      <c r="D40" s="35"/>
      <c r="E40" s="35"/>
      <c r="F40" s="35"/>
      <c r="G40" s="35"/>
      <c r="H40" s="35"/>
      <c r="I40" s="35"/>
      <c r="J40" s="35"/>
    </row>
    <row r="41" spans="1:10" x14ac:dyDescent="0.2">
      <c r="A41" s="35"/>
      <c r="B41" s="35"/>
      <c r="C41" s="35"/>
      <c r="D41" s="35"/>
      <c r="E41" s="35"/>
      <c r="F41" s="35"/>
      <c r="G41" s="35"/>
      <c r="H41" s="35"/>
      <c r="I41" s="35"/>
      <c r="J41" s="35"/>
    </row>
    <row r="42" spans="1:10" x14ac:dyDescent="0.2">
      <c r="A42" s="35"/>
      <c r="B42" s="35"/>
      <c r="C42" s="35"/>
      <c r="D42" s="35"/>
      <c r="E42" s="35"/>
      <c r="F42" s="35"/>
      <c r="G42" s="35"/>
      <c r="H42" s="35"/>
      <c r="I42" s="35"/>
      <c r="J42" s="35"/>
    </row>
    <row r="43" spans="1:10" x14ac:dyDescent="0.2">
      <c r="A43" s="35"/>
      <c r="B43" s="35"/>
      <c r="C43" s="35"/>
      <c r="D43" s="35"/>
      <c r="E43" s="35"/>
      <c r="F43" s="35"/>
      <c r="G43" s="35"/>
      <c r="H43" s="35"/>
      <c r="I43" s="35"/>
      <c r="J43" s="35"/>
    </row>
    <row r="44" spans="1:10" x14ac:dyDescent="0.2">
      <c r="A44" s="35"/>
      <c r="B44" s="35"/>
      <c r="C44" s="35"/>
      <c r="D44" s="35"/>
      <c r="E44" s="35"/>
      <c r="F44" s="35"/>
      <c r="G44" s="35"/>
      <c r="H44" s="35"/>
      <c r="I44" s="35"/>
      <c r="J44" s="35"/>
    </row>
    <row r="45" spans="1:10" x14ac:dyDescent="0.2">
      <c r="A45" s="35"/>
      <c r="B45" s="35"/>
      <c r="C45" s="35"/>
      <c r="D45" s="35"/>
      <c r="E45" s="35"/>
      <c r="F45" s="35"/>
      <c r="G45" s="35"/>
      <c r="H45" s="35"/>
      <c r="I45" s="35"/>
      <c r="J45" s="35"/>
    </row>
    <row r="46" spans="1:10" x14ac:dyDescent="0.2">
      <c r="A46" s="35"/>
      <c r="B46" s="35"/>
      <c r="C46" s="35"/>
      <c r="D46" s="35"/>
      <c r="E46" s="35"/>
      <c r="F46" s="35"/>
      <c r="G46" s="35"/>
      <c r="H46" s="35"/>
      <c r="I46" s="35"/>
      <c r="J46" s="35"/>
    </row>
    <row r="47" spans="1:10" x14ac:dyDescent="0.2">
      <c r="A47" s="35"/>
      <c r="B47" s="35"/>
      <c r="C47" s="35"/>
      <c r="D47" s="35"/>
      <c r="E47" s="35"/>
      <c r="F47" s="35"/>
      <c r="G47" s="35"/>
      <c r="H47" s="35"/>
      <c r="I47" s="35"/>
      <c r="J47" s="35"/>
    </row>
    <row r="48" spans="1:10" x14ac:dyDescent="0.2">
      <c r="A48" s="35"/>
      <c r="B48" s="35"/>
      <c r="C48" s="35"/>
      <c r="D48" s="35"/>
      <c r="E48" s="35"/>
      <c r="F48" s="35"/>
      <c r="G48" s="35"/>
      <c r="H48" s="35"/>
      <c r="I48" s="35"/>
      <c r="J48" s="35"/>
    </row>
    <row r="49" spans="1:10" x14ac:dyDescent="0.2">
      <c r="A49" s="35"/>
      <c r="B49" s="35"/>
      <c r="C49" s="35"/>
      <c r="D49" s="35"/>
      <c r="E49" s="35"/>
      <c r="F49" s="35"/>
      <c r="G49" s="35"/>
      <c r="H49" s="35"/>
      <c r="I49" s="35"/>
      <c r="J49" s="35"/>
    </row>
    <row r="50" spans="1:10" x14ac:dyDescent="0.2">
      <c r="A50" s="35"/>
      <c r="B50" s="35"/>
      <c r="C50" s="35"/>
      <c r="D50" s="35"/>
      <c r="E50" s="35"/>
      <c r="F50" s="35"/>
      <c r="G50" s="35"/>
      <c r="H50" s="35"/>
      <c r="I50" s="35"/>
      <c r="J50" s="35"/>
    </row>
    <row r="51" spans="1:10" x14ac:dyDescent="0.2">
      <c r="A51" s="35"/>
      <c r="B51" s="35"/>
      <c r="C51" s="35"/>
      <c r="D51" s="35"/>
      <c r="E51" s="35"/>
      <c r="F51" s="35"/>
      <c r="G51" s="35"/>
      <c r="H51" s="35"/>
      <c r="I51" s="35"/>
      <c r="J51" s="35"/>
    </row>
    <row r="52" spans="1:10" x14ac:dyDescent="0.2">
      <c r="A52" s="35"/>
      <c r="B52" s="35"/>
      <c r="C52" s="35"/>
      <c r="D52" s="35"/>
      <c r="E52" s="35"/>
      <c r="F52" s="35"/>
      <c r="G52" s="35"/>
      <c r="H52" s="35"/>
      <c r="I52" s="35"/>
      <c r="J52" s="35"/>
    </row>
    <row r="53" spans="1:10" x14ac:dyDescent="0.2">
      <c r="A53" s="35"/>
      <c r="B53" s="35"/>
      <c r="C53" s="35"/>
      <c r="D53" s="35"/>
      <c r="E53" s="35"/>
      <c r="F53" s="35"/>
      <c r="G53" s="35"/>
      <c r="H53" s="35"/>
      <c r="I53" s="35"/>
      <c r="J53" s="35"/>
    </row>
    <row r="54" spans="1:10" x14ac:dyDescent="0.2">
      <c r="A54" s="35"/>
      <c r="B54" s="35"/>
      <c r="C54" s="35"/>
      <c r="D54" s="35"/>
      <c r="E54" s="35"/>
      <c r="F54" s="35"/>
      <c r="G54" s="35"/>
      <c r="H54" s="35"/>
      <c r="I54" s="35"/>
      <c r="J54" s="35"/>
    </row>
  </sheetData>
  <phoneticPr fontId="0" type="noConversion"/>
  <pageMargins left="0.88" right="0.35" top="1" bottom="1" header="0.5" footer="0.5"/>
  <pageSetup scale="96" orientation="portrait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7">
    <pageSetUpPr fitToPage="1"/>
  </sheetPr>
  <dimension ref="A1:F134"/>
  <sheetViews>
    <sheetView showGridLines="0" topLeftCell="A22" zoomScaleNormal="100" workbookViewId="0">
      <selection activeCell="G2" sqref="G1:G1048576"/>
    </sheetView>
  </sheetViews>
  <sheetFormatPr defaultColWidth="8.7109375" defaultRowHeight="12.75" x14ac:dyDescent="0.2"/>
  <cols>
    <col min="1" max="1" width="43" bestFit="1" customWidth="1"/>
    <col min="2" max="2" width="10.7109375" style="6" customWidth="1"/>
    <col min="3" max="3" width="10.7109375" bestFit="1" customWidth="1"/>
    <col min="4" max="4" width="9.7109375" customWidth="1"/>
    <col min="5" max="5" width="9.7109375" bestFit="1" customWidth="1"/>
  </cols>
  <sheetData>
    <row r="1" spans="1:5" ht="15.75" x14ac:dyDescent="0.25">
      <c r="A1" s="3" t="str">
        <f>'Ann Sess'!A1</f>
        <v>2026 Budget</v>
      </c>
      <c r="B1" s="3" t="s">
        <v>65</v>
      </c>
    </row>
    <row r="2" spans="1:5" ht="15.75" x14ac:dyDescent="0.25">
      <c r="A2" s="359" t="str">
        <f>'Ann Sess'!A2</f>
        <v>1st Draft</v>
      </c>
      <c r="B2" s="3"/>
    </row>
    <row r="3" spans="1:5" ht="15.75" x14ac:dyDescent="0.25">
      <c r="A3" s="85"/>
      <c r="B3" s="3" t="s">
        <v>27</v>
      </c>
    </row>
    <row r="4" spans="1:5" x14ac:dyDescent="0.2">
      <c r="B4" s="47"/>
      <c r="D4" s="7" t="s">
        <v>0</v>
      </c>
    </row>
    <row r="5" spans="1:5" s="64" customFormat="1" ht="15" x14ac:dyDescent="0.25">
      <c r="A5" s="63" t="s">
        <v>26</v>
      </c>
      <c r="B5" s="63">
        <f>'Ann Sess'!B5</f>
        <v>2025</v>
      </c>
      <c r="C5" s="63">
        <f>'Ann Sess'!C5</f>
        <v>2026</v>
      </c>
      <c r="D5" s="4" t="s">
        <v>44</v>
      </c>
      <c r="E5" s="57" t="s">
        <v>44</v>
      </c>
    </row>
    <row r="6" spans="1:5" s="64" customFormat="1" ht="15" x14ac:dyDescent="0.25">
      <c r="A6" s="46" t="s">
        <v>41</v>
      </c>
      <c r="B6" s="46" t="s">
        <v>43</v>
      </c>
      <c r="C6" s="46" t="s">
        <v>120</v>
      </c>
      <c r="D6" s="5" t="s">
        <v>45</v>
      </c>
      <c r="E6" s="46" t="s">
        <v>46</v>
      </c>
    </row>
    <row r="7" spans="1:5" x14ac:dyDescent="0.2">
      <c r="A7" s="175"/>
      <c r="B7" s="70"/>
      <c r="C7" s="70"/>
      <c r="D7" s="2" t="s">
        <v>0</v>
      </c>
      <c r="E7" s="50"/>
    </row>
    <row r="8" spans="1:5" x14ac:dyDescent="0.2">
      <c r="A8" s="2"/>
      <c r="B8" s="17"/>
      <c r="C8" s="17"/>
      <c r="D8" s="2"/>
      <c r="E8" s="6"/>
    </row>
    <row r="9" spans="1:5" x14ac:dyDescent="0.2">
      <c r="A9" s="150" t="s">
        <v>10</v>
      </c>
      <c r="B9" s="17"/>
      <c r="C9" s="17"/>
      <c r="D9" s="2"/>
      <c r="E9" s="6"/>
    </row>
    <row r="10" spans="1:5" x14ac:dyDescent="0.2">
      <c r="A10" s="151" t="s">
        <v>506</v>
      </c>
      <c r="B10" s="323">
        <v>6525</v>
      </c>
      <c r="C10" s="323">
        <f>3*15*200</f>
        <v>9000</v>
      </c>
      <c r="D10" s="13">
        <f>C10-B10</f>
        <v>2475</v>
      </c>
      <c r="E10" s="51">
        <f>(D10/B10)</f>
        <v>0.37931034482758619</v>
      </c>
    </row>
    <row r="11" spans="1:5" x14ac:dyDescent="0.2">
      <c r="A11" s="168"/>
      <c r="B11" s="88"/>
      <c r="C11" s="88"/>
      <c r="D11" s="13"/>
      <c r="E11" s="51"/>
    </row>
    <row r="12" spans="1:5" x14ac:dyDescent="0.2">
      <c r="A12" s="168" t="s">
        <v>166</v>
      </c>
      <c r="B12" s="125">
        <v>10000</v>
      </c>
      <c r="C12" s="125">
        <v>14000</v>
      </c>
      <c r="D12" s="124">
        <f>C12-B12</f>
        <v>4000</v>
      </c>
      <c r="E12" s="139">
        <f t="shared" ref="E12:E49" si="0">(D12/B12)</f>
        <v>0.4</v>
      </c>
    </row>
    <row r="13" spans="1:5" x14ac:dyDescent="0.2">
      <c r="A13" s="168"/>
      <c r="B13" s="298">
        <f>SUM(B10:B12)</f>
        <v>16525</v>
      </c>
      <c r="C13" s="298">
        <f>SUM(C10:C12)</f>
        <v>23000</v>
      </c>
      <c r="D13" s="13">
        <f>SUM(D10:D12)</f>
        <v>6475</v>
      </c>
      <c r="E13" s="51">
        <f t="shared" si="0"/>
        <v>0.39183055975794251</v>
      </c>
    </row>
    <row r="14" spans="1:5" x14ac:dyDescent="0.2">
      <c r="A14" s="150" t="s">
        <v>11</v>
      </c>
      <c r="B14" s="295"/>
      <c r="C14" s="295"/>
      <c r="D14" s="13"/>
      <c r="E14" s="51"/>
    </row>
    <row r="15" spans="1:5" x14ac:dyDescent="0.2">
      <c r="A15" s="2" t="s">
        <v>314</v>
      </c>
      <c r="B15" s="295">
        <v>4500</v>
      </c>
      <c r="C15" s="295">
        <f>3*15*100</f>
        <v>4500</v>
      </c>
      <c r="D15" s="13">
        <f>C15-B15</f>
        <v>0</v>
      </c>
      <c r="E15" s="51">
        <f t="shared" si="0"/>
        <v>0</v>
      </c>
    </row>
    <row r="16" spans="1:5" x14ac:dyDescent="0.2">
      <c r="A16" s="168" t="s">
        <v>137</v>
      </c>
      <c r="B16" s="125">
        <v>405</v>
      </c>
      <c r="C16" s="125">
        <v>405</v>
      </c>
      <c r="D16" s="124">
        <f>C16-B16</f>
        <v>0</v>
      </c>
      <c r="E16" s="139">
        <f t="shared" si="0"/>
        <v>0</v>
      </c>
    </row>
    <row r="17" spans="1:5" x14ac:dyDescent="0.2">
      <c r="A17" s="168"/>
      <c r="B17" s="298">
        <f>SUM(B15:B16)</f>
        <v>4905</v>
      </c>
      <c r="C17" s="298">
        <f>SUM(C15:C16)</f>
        <v>4905</v>
      </c>
      <c r="D17" s="13">
        <f>SUM(D15:D16)</f>
        <v>0</v>
      </c>
      <c r="E17" s="51">
        <f t="shared" si="0"/>
        <v>0</v>
      </c>
    </row>
    <row r="18" spans="1:5" x14ac:dyDescent="0.2">
      <c r="A18" s="168"/>
      <c r="B18" s="295"/>
      <c r="C18" s="295"/>
      <c r="D18" s="13"/>
      <c r="E18" s="51"/>
    </row>
    <row r="19" spans="1:5" x14ac:dyDescent="0.2">
      <c r="A19" s="150" t="s">
        <v>12</v>
      </c>
      <c r="B19" s="88"/>
      <c r="C19" s="88"/>
      <c r="D19" s="13"/>
      <c r="E19" s="51"/>
    </row>
    <row r="20" spans="1:5" x14ac:dyDescent="0.2">
      <c r="A20" s="168" t="s">
        <v>72</v>
      </c>
      <c r="B20" s="108">
        <v>5000</v>
      </c>
      <c r="C20" s="108">
        <v>5000</v>
      </c>
      <c r="D20" s="13">
        <f>C20-B20</f>
        <v>0</v>
      </c>
      <c r="E20" s="51">
        <f t="shared" si="0"/>
        <v>0</v>
      </c>
    </row>
    <row r="21" spans="1:5" x14ac:dyDescent="0.2">
      <c r="A21" s="150"/>
      <c r="B21" s="295"/>
      <c r="C21" s="295"/>
      <c r="D21" s="13"/>
      <c r="E21" s="51"/>
    </row>
    <row r="22" spans="1:5" x14ac:dyDescent="0.2">
      <c r="A22" s="150" t="s">
        <v>21</v>
      </c>
      <c r="B22" s="88"/>
      <c r="C22" s="88"/>
      <c r="D22" s="13"/>
      <c r="E22" s="51"/>
    </row>
    <row r="23" spans="1:5" x14ac:dyDescent="0.2">
      <c r="A23" s="168" t="s">
        <v>73</v>
      </c>
      <c r="B23" s="299">
        <v>50000</v>
      </c>
      <c r="C23" s="299">
        <v>55000</v>
      </c>
      <c r="D23" s="13">
        <f>C23-B23</f>
        <v>5000</v>
      </c>
      <c r="E23" s="51">
        <f t="shared" si="0"/>
        <v>0.1</v>
      </c>
    </row>
    <row r="24" spans="1:5" x14ac:dyDescent="0.2">
      <c r="A24" s="150"/>
      <c r="B24" s="299"/>
      <c r="C24" s="299"/>
      <c r="D24" s="13"/>
      <c r="E24" s="51"/>
    </row>
    <row r="25" spans="1:5" x14ac:dyDescent="0.2">
      <c r="A25" s="150" t="s">
        <v>13</v>
      </c>
      <c r="B25" s="295"/>
      <c r="C25" s="295"/>
      <c r="D25" s="13"/>
      <c r="E25" s="51"/>
    </row>
    <row r="26" spans="1:5" x14ac:dyDescent="0.2">
      <c r="A26" s="168" t="s">
        <v>84</v>
      </c>
      <c r="B26" s="295"/>
      <c r="C26" s="295"/>
      <c r="D26" s="13"/>
      <c r="E26" s="51"/>
    </row>
    <row r="27" spans="1:5" x14ac:dyDescent="0.2">
      <c r="A27" s="2" t="s">
        <v>491</v>
      </c>
      <c r="B27" s="88">
        <v>5200</v>
      </c>
      <c r="C27" s="88">
        <f>2*4*325</f>
        <v>2600</v>
      </c>
      <c r="D27" s="13">
        <f>C27-B27</f>
        <v>-2600</v>
      </c>
      <c r="E27" s="51">
        <f t="shared" si="0"/>
        <v>-0.5</v>
      </c>
    </row>
    <row r="28" spans="1:5" x14ac:dyDescent="0.2">
      <c r="A28" s="2" t="s">
        <v>492</v>
      </c>
      <c r="B28" s="295">
        <v>1600</v>
      </c>
      <c r="C28" s="295">
        <f>2*400</f>
        <v>800</v>
      </c>
      <c r="D28" s="13">
        <f>C28-B28</f>
        <v>-800</v>
      </c>
      <c r="E28" s="51">
        <f t="shared" si="0"/>
        <v>-0.5</v>
      </c>
    </row>
    <row r="29" spans="1:5" x14ac:dyDescent="0.2">
      <c r="A29" s="2" t="s">
        <v>448</v>
      </c>
      <c r="B29" s="295">
        <v>1600</v>
      </c>
      <c r="C29" s="295">
        <f>2*4*100</f>
        <v>800</v>
      </c>
      <c r="D29" s="13">
        <f>C29-B29</f>
        <v>-800</v>
      </c>
      <c r="E29" s="51">
        <f t="shared" si="0"/>
        <v>-0.5</v>
      </c>
    </row>
    <row r="30" spans="1:5" x14ac:dyDescent="0.2">
      <c r="A30" s="2" t="s">
        <v>493</v>
      </c>
      <c r="B30" s="295">
        <v>1800</v>
      </c>
      <c r="C30" s="295">
        <f>2*450</f>
        <v>900</v>
      </c>
      <c r="D30" s="13">
        <f>C30-B30</f>
        <v>-900</v>
      </c>
      <c r="E30" s="51">
        <f t="shared" si="0"/>
        <v>-0.5</v>
      </c>
    </row>
    <row r="31" spans="1:5" x14ac:dyDescent="0.2">
      <c r="A31" s="168" t="s">
        <v>85</v>
      </c>
      <c r="B31" s="295"/>
      <c r="C31" s="295"/>
      <c r="D31" s="13"/>
      <c r="E31" s="51"/>
    </row>
    <row r="32" spans="1:5" x14ac:dyDescent="0.2">
      <c r="A32" s="2" t="s">
        <v>507</v>
      </c>
      <c r="B32" s="295">
        <v>2550</v>
      </c>
      <c r="C32" s="295">
        <f>2*3*450</f>
        <v>2700</v>
      </c>
      <c r="D32" s="13">
        <f>C32-B32</f>
        <v>150</v>
      </c>
      <c r="E32" s="51">
        <f t="shared" si="0"/>
        <v>5.8823529411764705E-2</v>
      </c>
    </row>
    <row r="33" spans="1:5" x14ac:dyDescent="0.2">
      <c r="A33" s="2" t="s">
        <v>447</v>
      </c>
      <c r="B33" s="295">
        <v>1000</v>
      </c>
      <c r="C33" s="295">
        <f>2*500</f>
        <v>1000</v>
      </c>
      <c r="D33" s="13">
        <f>C33-B33</f>
        <v>0</v>
      </c>
      <c r="E33" s="51">
        <f t="shared" si="0"/>
        <v>0</v>
      </c>
    </row>
    <row r="34" spans="1:5" x14ac:dyDescent="0.2">
      <c r="A34" s="2" t="s">
        <v>448</v>
      </c>
      <c r="B34" s="295">
        <v>800</v>
      </c>
      <c r="C34" s="295">
        <f>2*4*100</f>
        <v>800</v>
      </c>
      <c r="D34" s="13">
        <f>C34-B34</f>
        <v>0</v>
      </c>
      <c r="E34" s="51">
        <f t="shared" si="0"/>
        <v>0</v>
      </c>
    </row>
    <row r="35" spans="1:5" x14ac:dyDescent="0.2">
      <c r="A35" s="168" t="s">
        <v>74</v>
      </c>
      <c r="B35" s="295"/>
      <c r="C35" s="295"/>
      <c r="D35" s="13"/>
      <c r="E35" s="51"/>
    </row>
    <row r="36" spans="1:5" x14ac:dyDescent="0.2">
      <c r="A36" s="2" t="s">
        <v>508</v>
      </c>
      <c r="B36" s="88">
        <v>2400</v>
      </c>
      <c r="C36" s="88">
        <f>1*3*400</f>
        <v>1200</v>
      </c>
      <c r="D36" s="13">
        <f>C36-B36</f>
        <v>-1200</v>
      </c>
      <c r="E36" s="51">
        <f t="shared" si="0"/>
        <v>-0.5</v>
      </c>
    </row>
    <row r="37" spans="1:5" x14ac:dyDescent="0.2">
      <c r="A37" s="2" t="s">
        <v>509</v>
      </c>
      <c r="B37" s="299">
        <v>1000</v>
      </c>
      <c r="C37" s="88">
        <f>1*500</f>
        <v>500</v>
      </c>
      <c r="D37" s="13">
        <f>C37-B37</f>
        <v>-500</v>
      </c>
      <c r="E37" s="51">
        <f t="shared" si="0"/>
        <v>-0.5</v>
      </c>
    </row>
    <row r="38" spans="1:5" x14ac:dyDescent="0.2">
      <c r="A38" s="2" t="s">
        <v>510</v>
      </c>
      <c r="B38" s="299">
        <v>600</v>
      </c>
      <c r="C38" s="299">
        <f>1*3*100</f>
        <v>300</v>
      </c>
      <c r="D38" s="13">
        <f>C38-B38</f>
        <v>-300</v>
      </c>
      <c r="E38" s="51">
        <f t="shared" si="0"/>
        <v>-0.5</v>
      </c>
    </row>
    <row r="39" spans="1:5" x14ac:dyDescent="0.2">
      <c r="A39" s="2" t="s">
        <v>511</v>
      </c>
      <c r="B39" s="299">
        <v>100</v>
      </c>
      <c r="C39" s="299">
        <f>1*50</f>
        <v>50</v>
      </c>
      <c r="D39" s="13">
        <f>C39-B39</f>
        <v>-50</v>
      </c>
      <c r="E39" s="51">
        <f t="shared" si="0"/>
        <v>-0.5</v>
      </c>
    </row>
    <row r="40" spans="1:5" x14ac:dyDescent="0.2">
      <c r="A40" s="168" t="s">
        <v>86</v>
      </c>
      <c r="B40" s="88"/>
      <c r="C40" s="88"/>
      <c r="D40" s="13"/>
      <c r="E40" s="51"/>
    </row>
    <row r="41" spans="1:5" x14ac:dyDescent="0.2">
      <c r="A41" s="151" t="s">
        <v>324</v>
      </c>
      <c r="B41" s="298">
        <v>1500</v>
      </c>
      <c r="C41" s="298">
        <v>0</v>
      </c>
      <c r="D41" s="13">
        <f>C41-B41</f>
        <v>-1500</v>
      </c>
      <c r="E41" s="51">
        <f t="shared" si="0"/>
        <v>-1</v>
      </c>
    </row>
    <row r="42" spans="1:5" x14ac:dyDescent="0.2">
      <c r="A42" s="168" t="s">
        <v>156</v>
      </c>
      <c r="B42" s="298">
        <v>320</v>
      </c>
      <c r="C42" s="298">
        <v>0</v>
      </c>
      <c r="D42" s="13">
        <f>C42-B42</f>
        <v>-320</v>
      </c>
      <c r="E42" s="51">
        <f t="shared" si="0"/>
        <v>-1</v>
      </c>
    </row>
    <row r="43" spans="1:5" x14ac:dyDescent="0.2">
      <c r="A43" s="151" t="s">
        <v>328</v>
      </c>
      <c r="B43" s="298">
        <v>500</v>
      </c>
      <c r="C43" s="298">
        <v>0</v>
      </c>
      <c r="D43" s="13">
        <f>C43-B43</f>
        <v>-500</v>
      </c>
      <c r="E43" s="51">
        <f t="shared" si="0"/>
        <v>-1</v>
      </c>
    </row>
    <row r="44" spans="1:5" x14ac:dyDescent="0.2">
      <c r="A44" s="168" t="s">
        <v>75</v>
      </c>
      <c r="B44" s="88"/>
      <c r="C44" s="88"/>
      <c r="D44" s="13"/>
      <c r="E44" s="51"/>
    </row>
    <row r="45" spans="1:5" x14ac:dyDescent="0.2">
      <c r="A45" s="2" t="s">
        <v>156</v>
      </c>
      <c r="B45" s="298">
        <v>1500</v>
      </c>
      <c r="C45" s="298">
        <v>2200</v>
      </c>
      <c r="D45" s="13">
        <f>C45-B45</f>
        <v>700</v>
      </c>
      <c r="E45" s="51">
        <f t="shared" si="0"/>
        <v>0.46666666666666667</v>
      </c>
    </row>
    <row r="46" spans="1:5" x14ac:dyDescent="0.2">
      <c r="A46" s="2" t="s">
        <v>157</v>
      </c>
      <c r="B46" s="125">
        <v>500</v>
      </c>
      <c r="C46" s="125">
        <v>800</v>
      </c>
      <c r="D46" s="124">
        <f>C46-B46</f>
        <v>300</v>
      </c>
      <c r="E46" s="139">
        <f t="shared" si="0"/>
        <v>0.6</v>
      </c>
    </row>
    <row r="47" spans="1:5" x14ac:dyDescent="0.2">
      <c r="A47" s="2"/>
      <c r="B47" s="13">
        <f>SUM(B27:B46)</f>
        <v>22970</v>
      </c>
      <c r="C47" s="13">
        <f>SUM(C27:C46)</f>
        <v>14650</v>
      </c>
      <c r="D47" s="13">
        <f>SUM(D27:D46)</f>
        <v>-8320</v>
      </c>
      <c r="E47" s="51">
        <f t="shared" si="0"/>
        <v>-0.36221158032215933</v>
      </c>
    </row>
    <row r="48" spans="1:5" x14ac:dyDescent="0.2">
      <c r="A48" s="2"/>
      <c r="B48" s="13"/>
      <c r="C48" s="13"/>
      <c r="D48" s="13"/>
      <c r="E48" s="51"/>
    </row>
    <row r="49" spans="1:6" ht="15" x14ac:dyDescent="0.25">
      <c r="A49" s="77" t="s">
        <v>64</v>
      </c>
      <c r="B49" s="172">
        <f>SUM(B13, B17, B20, B23, B47,)</f>
        <v>99400</v>
      </c>
      <c r="C49" s="172">
        <f>SUM(C13, C17, C20, C23, C47,)</f>
        <v>102555</v>
      </c>
      <c r="D49" s="172">
        <f>SUM(D13, D17, D20, D23, D47,)</f>
        <v>3155</v>
      </c>
      <c r="E49" s="173">
        <f t="shared" si="0"/>
        <v>3.1740442655935612E-2</v>
      </c>
      <c r="F49" s="38"/>
    </row>
    <row r="50" spans="1:6" x14ac:dyDescent="0.2">
      <c r="A50" s="146"/>
      <c r="B50" s="47"/>
      <c r="C50" s="47"/>
      <c r="D50" s="47"/>
      <c r="E50" s="149"/>
    </row>
    <row r="51" spans="1:6" x14ac:dyDescent="0.2">
      <c r="B51"/>
    </row>
    <row r="52" spans="1:6" x14ac:dyDescent="0.2">
      <c r="B52"/>
    </row>
    <row r="53" spans="1:6" x14ac:dyDescent="0.2">
      <c r="B53"/>
    </row>
    <row r="54" spans="1:6" x14ac:dyDescent="0.2">
      <c r="B54"/>
      <c r="C54" s="36"/>
    </row>
    <row r="55" spans="1:6" x14ac:dyDescent="0.2">
      <c r="B55"/>
    </row>
    <row r="56" spans="1:6" x14ac:dyDescent="0.2">
      <c r="B56"/>
    </row>
    <row r="57" spans="1:6" x14ac:dyDescent="0.2">
      <c r="B57"/>
    </row>
    <row r="58" spans="1:6" x14ac:dyDescent="0.2">
      <c r="B58"/>
    </row>
    <row r="59" spans="1:6" x14ac:dyDescent="0.2">
      <c r="B59"/>
    </row>
    <row r="60" spans="1:6" x14ac:dyDescent="0.2">
      <c r="B60"/>
    </row>
    <row r="61" spans="1:6" x14ac:dyDescent="0.2">
      <c r="B61"/>
    </row>
    <row r="62" spans="1:6" x14ac:dyDescent="0.2">
      <c r="B62"/>
    </row>
    <row r="63" spans="1:6" x14ac:dyDescent="0.2">
      <c r="B63"/>
    </row>
    <row r="64" spans="1:6" x14ac:dyDescent="0.2">
      <c r="B64"/>
    </row>
    <row r="65" spans="2:2" x14ac:dyDescent="0.2">
      <c r="B65"/>
    </row>
    <row r="66" spans="2:2" x14ac:dyDescent="0.2">
      <c r="B66"/>
    </row>
    <row r="67" spans="2:2" x14ac:dyDescent="0.2">
      <c r="B67"/>
    </row>
    <row r="68" spans="2:2" x14ac:dyDescent="0.2">
      <c r="B68"/>
    </row>
    <row r="69" spans="2:2" x14ac:dyDescent="0.2">
      <c r="B69"/>
    </row>
    <row r="70" spans="2:2" x14ac:dyDescent="0.2">
      <c r="B70"/>
    </row>
    <row r="71" spans="2:2" x14ac:dyDescent="0.2">
      <c r="B71"/>
    </row>
    <row r="72" spans="2:2" x14ac:dyDescent="0.2">
      <c r="B72"/>
    </row>
    <row r="73" spans="2:2" x14ac:dyDescent="0.2">
      <c r="B73"/>
    </row>
    <row r="74" spans="2:2" x14ac:dyDescent="0.2">
      <c r="B74"/>
    </row>
    <row r="75" spans="2:2" x14ac:dyDescent="0.2">
      <c r="B75"/>
    </row>
    <row r="76" spans="2:2" x14ac:dyDescent="0.2">
      <c r="B76"/>
    </row>
    <row r="77" spans="2:2" x14ac:dyDescent="0.2">
      <c r="B77"/>
    </row>
    <row r="78" spans="2:2" x14ac:dyDescent="0.2">
      <c r="B78"/>
    </row>
    <row r="79" spans="2:2" x14ac:dyDescent="0.2">
      <c r="B79"/>
    </row>
    <row r="80" spans="2:2" x14ac:dyDescent="0.2">
      <c r="B80"/>
    </row>
    <row r="81" spans="2:2" x14ac:dyDescent="0.2">
      <c r="B81"/>
    </row>
    <row r="82" spans="2:2" x14ac:dyDescent="0.2">
      <c r="B82"/>
    </row>
    <row r="83" spans="2:2" x14ac:dyDescent="0.2">
      <c r="B83"/>
    </row>
    <row r="84" spans="2:2" x14ac:dyDescent="0.2">
      <c r="B84"/>
    </row>
    <row r="85" spans="2:2" x14ac:dyDescent="0.2">
      <c r="B85"/>
    </row>
    <row r="86" spans="2:2" x14ac:dyDescent="0.2">
      <c r="B86"/>
    </row>
    <row r="87" spans="2:2" x14ac:dyDescent="0.2">
      <c r="B87"/>
    </row>
    <row r="88" spans="2:2" x14ac:dyDescent="0.2">
      <c r="B88"/>
    </row>
    <row r="89" spans="2:2" x14ac:dyDescent="0.2">
      <c r="B89"/>
    </row>
    <row r="90" spans="2:2" x14ac:dyDescent="0.2">
      <c r="B90"/>
    </row>
    <row r="91" spans="2:2" x14ac:dyDescent="0.2">
      <c r="B91"/>
    </row>
    <row r="92" spans="2:2" x14ac:dyDescent="0.2">
      <c r="B92"/>
    </row>
    <row r="93" spans="2:2" x14ac:dyDescent="0.2">
      <c r="B93"/>
    </row>
    <row r="94" spans="2:2" x14ac:dyDescent="0.2">
      <c r="B94"/>
    </row>
    <row r="95" spans="2:2" x14ac:dyDescent="0.2">
      <c r="B95"/>
    </row>
    <row r="96" spans="2:2" x14ac:dyDescent="0.2">
      <c r="B96"/>
    </row>
    <row r="97" spans="2:2" x14ac:dyDescent="0.2">
      <c r="B97"/>
    </row>
    <row r="98" spans="2:2" x14ac:dyDescent="0.2">
      <c r="B98"/>
    </row>
    <row r="99" spans="2:2" x14ac:dyDescent="0.2">
      <c r="B99"/>
    </row>
    <row r="100" spans="2:2" x14ac:dyDescent="0.2">
      <c r="B100"/>
    </row>
    <row r="101" spans="2:2" x14ac:dyDescent="0.2">
      <c r="B101"/>
    </row>
    <row r="102" spans="2:2" x14ac:dyDescent="0.2">
      <c r="B102"/>
    </row>
    <row r="103" spans="2:2" x14ac:dyDescent="0.2">
      <c r="B103"/>
    </row>
    <row r="104" spans="2:2" x14ac:dyDescent="0.2">
      <c r="B104"/>
    </row>
    <row r="105" spans="2:2" x14ac:dyDescent="0.2">
      <c r="B105"/>
    </row>
    <row r="106" spans="2:2" x14ac:dyDescent="0.2">
      <c r="B106"/>
    </row>
    <row r="107" spans="2:2" x14ac:dyDescent="0.2">
      <c r="B107"/>
    </row>
    <row r="108" spans="2:2" x14ac:dyDescent="0.2">
      <c r="B108"/>
    </row>
    <row r="109" spans="2:2" x14ac:dyDescent="0.2">
      <c r="B109"/>
    </row>
    <row r="110" spans="2:2" x14ac:dyDescent="0.2">
      <c r="B110"/>
    </row>
    <row r="111" spans="2:2" x14ac:dyDescent="0.2">
      <c r="B111"/>
    </row>
    <row r="112" spans="2:2" x14ac:dyDescent="0.2">
      <c r="B112"/>
    </row>
    <row r="113" spans="2:2" x14ac:dyDescent="0.2">
      <c r="B113"/>
    </row>
    <row r="114" spans="2:2" x14ac:dyDescent="0.2">
      <c r="B114"/>
    </row>
    <row r="115" spans="2:2" x14ac:dyDescent="0.2">
      <c r="B115"/>
    </row>
    <row r="116" spans="2:2" x14ac:dyDescent="0.2">
      <c r="B116"/>
    </row>
    <row r="117" spans="2:2" x14ac:dyDescent="0.2">
      <c r="B117"/>
    </row>
    <row r="118" spans="2:2" x14ac:dyDescent="0.2">
      <c r="B118"/>
    </row>
    <row r="119" spans="2:2" x14ac:dyDescent="0.2">
      <c r="B119"/>
    </row>
    <row r="120" spans="2:2" x14ac:dyDescent="0.2">
      <c r="B120"/>
    </row>
    <row r="121" spans="2:2" x14ac:dyDescent="0.2">
      <c r="B121"/>
    </row>
    <row r="122" spans="2:2" x14ac:dyDescent="0.2">
      <c r="B122"/>
    </row>
    <row r="123" spans="2:2" x14ac:dyDescent="0.2">
      <c r="B123"/>
    </row>
    <row r="124" spans="2:2" x14ac:dyDescent="0.2">
      <c r="B124"/>
    </row>
    <row r="125" spans="2:2" x14ac:dyDescent="0.2">
      <c r="B125"/>
    </row>
    <row r="126" spans="2:2" x14ac:dyDescent="0.2">
      <c r="B126"/>
    </row>
    <row r="127" spans="2:2" x14ac:dyDescent="0.2">
      <c r="B127"/>
    </row>
    <row r="128" spans="2:2" x14ac:dyDescent="0.2">
      <c r="B128"/>
    </row>
    <row r="129" spans="2:2" x14ac:dyDescent="0.2">
      <c r="B129"/>
    </row>
    <row r="130" spans="2:2" x14ac:dyDescent="0.2">
      <c r="B130"/>
    </row>
    <row r="131" spans="2:2" x14ac:dyDescent="0.2">
      <c r="B131"/>
    </row>
    <row r="132" spans="2:2" x14ac:dyDescent="0.2">
      <c r="B132"/>
    </row>
    <row r="133" spans="2:2" x14ac:dyDescent="0.2">
      <c r="B133"/>
    </row>
    <row r="134" spans="2:2" x14ac:dyDescent="0.2">
      <c r="B134"/>
    </row>
  </sheetData>
  <phoneticPr fontId="0" type="noConversion"/>
  <pageMargins left="1" right="0.5" top="1" bottom="1" header="0.5" footer="0.5"/>
  <pageSetup orientation="portrait" r:id="rId1"/>
  <headerFooter alignWithMargins="0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A486AC901396439C88262F0C225088" ma:contentTypeVersion="15" ma:contentTypeDescription="Create a new document." ma:contentTypeScope="" ma:versionID="0745ae5f41db19074b586c880e6eea54">
  <xsd:schema xmlns:xsd="http://www.w3.org/2001/XMLSchema" xmlns:xs="http://www.w3.org/2001/XMLSchema" xmlns:p="http://schemas.microsoft.com/office/2006/metadata/properties" xmlns:ns2="3f8e6b40-5099-4d77-9175-550276c8ad59" xmlns:ns3="847e2b7e-4a9e-4e7a-ac2c-4c9d07418fc8" targetNamespace="http://schemas.microsoft.com/office/2006/metadata/properties" ma:root="true" ma:fieldsID="fe3ddbd21ec11f9c3b3abc3b00ff7321" ns2:_="" ns3:_="">
    <xsd:import namespace="3f8e6b40-5099-4d77-9175-550276c8ad59"/>
    <xsd:import namespace="847e2b7e-4a9e-4e7a-ac2c-4c9d07418fc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8e6b40-5099-4d77-9175-550276c8ad5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37ceb4fb-78fe-41b6-89db-53c2ea4f7ac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7e2b7e-4a9e-4e7a-ac2c-4c9d07418fc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1dec9882-2c32-46a2-86a2-c422425f69e2}" ma:internalName="TaxCatchAll" ma:showField="CatchAllData" ma:web="847e2b7e-4a9e-4e7a-ac2c-4c9d07418fc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f8e6b40-5099-4d77-9175-550276c8ad59">
      <Terms xmlns="http://schemas.microsoft.com/office/infopath/2007/PartnerControls"/>
    </lcf76f155ced4ddcb4097134ff3c332f>
    <TaxCatchAll xmlns="847e2b7e-4a9e-4e7a-ac2c-4c9d07418fc8" xsi:nil="true"/>
  </documentManagement>
</p:properties>
</file>

<file path=customXml/itemProps1.xml><?xml version="1.0" encoding="utf-8"?>
<ds:datastoreItem xmlns:ds="http://schemas.openxmlformats.org/officeDocument/2006/customXml" ds:itemID="{66B89229-FB01-4123-97DC-B6FECCD7E2B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f8e6b40-5099-4d77-9175-550276c8ad59"/>
    <ds:schemaRef ds:uri="847e2b7e-4a9e-4e7a-ac2c-4c9d07418fc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C275D3D-4A53-4F87-9858-9F2A76C467A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87BD70E-D16B-4992-8C46-66323EF160DB}">
  <ds:schemaRefs>
    <ds:schemaRef ds:uri="http://schemas.microsoft.com/office/2006/metadata/properties"/>
    <ds:schemaRef ds:uri="http://schemas.microsoft.com/office/infopath/2007/PartnerControls"/>
    <ds:schemaRef ds:uri="96e8bca6-bebe-45c3-b3a1-0edd98363171"/>
    <ds:schemaRef ds:uri="0c1460ac-516d-4990-98d8-6d630b9618fc"/>
    <ds:schemaRef ds:uri="3f8e6b40-5099-4d77-9175-550276c8ad59"/>
    <ds:schemaRef ds:uri="847e2b7e-4a9e-4e7a-ac2c-4c9d07418fc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28</vt:i4>
      </vt:variant>
      <vt:variant>
        <vt:lpstr>Named Ranges</vt:lpstr>
      </vt:variant>
      <vt:variant>
        <vt:i4>9</vt:i4>
      </vt:variant>
    </vt:vector>
  </HeadingPairs>
  <TitlesOfParts>
    <vt:vector size="37" baseType="lpstr">
      <vt:lpstr>Income</vt:lpstr>
      <vt:lpstr>Expense Summary</vt:lpstr>
      <vt:lpstr>Ann Sess</vt:lpstr>
      <vt:lpstr>ADA Ann Sess</vt:lpstr>
      <vt:lpstr>HOD</vt:lpstr>
      <vt:lpstr>Policy and Structure</vt:lpstr>
      <vt:lpstr>Dtl Ed</vt:lpstr>
      <vt:lpstr>Captl Conf</vt:lpstr>
      <vt:lpstr>Government Affairs</vt:lpstr>
      <vt:lpstr>Government Affairs(2)</vt:lpstr>
      <vt:lpstr>Access</vt:lpstr>
      <vt:lpstr>Mbr Srvs</vt:lpstr>
      <vt:lpstr>Membership</vt:lpstr>
      <vt:lpstr>New Dts</vt:lpstr>
      <vt:lpstr>DEI</vt:lpstr>
      <vt:lpstr>Allied Dental Personnel</vt:lpstr>
      <vt:lpstr>Dtl Bene</vt:lpstr>
      <vt:lpstr>Peer Review</vt:lpstr>
      <vt:lpstr>Communications</vt:lpstr>
      <vt:lpstr>Communications (2)</vt:lpstr>
      <vt:lpstr>Board</vt:lpstr>
      <vt:lpstr>Board2</vt:lpstr>
      <vt:lpstr>Board3</vt:lpstr>
      <vt:lpstr>Headquarters</vt:lpstr>
      <vt:lpstr>Headquarters (2)</vt:lpstr>
      <vt:lpstr>Midwinter</vt:lpstr>
      <vt:lpstr>ind costs(1)</vt:lpstr>
      <vt:lpstr>ind costs(2)</vt:lpstr>
      <vt:lpstr>G9_PP</vt:lpstr>
      <vt:lpstr>'Captl Conf'!Print_Area</vt:lpstr>
      <vt:lpstr>DEI!Print_Area</vt:lpstr>
      <vt:lpstr>'Dtl Bene'!Print_Area</vt:lpstr>
      <vt:lpstr>'Expense Summary'!Print_Area</vt:lpstr>
      <vt:lpstr>'Government Affairs(2)'!Print_Area</vt:lpstr>
      <vt:lpstr>Income!Print_Area</vt:lpstr>
      <vt:lpstr>'Policy and Structure'!Print_Area</vt:lpstr>
      <vt:lpstr>Print_Area_MI</vt:lpstr>
    </vt:vector>
  </TitlesOfParts>
  <Company>ISDS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Jill Bell</dc:creator>
  <cp:lastModifiedBy>Misty Glass</cp:lastModifiedBy>
  <cp:lastPrinted>2019-05-14T19:18:18Z</cp:lastPrinted>
  <dcterms:created xsi:type="dcterms:W3CDTF">1998-05-04T16:44:13Z</dcterms:created>
  <dcterms:modified xsi:type="dcterms:W3CDTF">2025-07-17T17:05:22Z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0x010100DDA486AC901396439C88262F0C225088</vt:lpwstr>
  </property>
</Properties>
</file>